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455" windowHeight="8325" activeTab="1"/>
  </bookViews>
  <sheets>
    <sheet name="Table 1a" sheetId="1" r:id="rId1"/>
    <sheet name="Table 1b2" sheetId="2" r:id="rId2"/>
  </sheets>
  <definedNames/>
  <calcPr fullCalcOnLoad="1"/>
</workbook>
</file>

<file path=xl/sharedStrings.xml><?xml version="1.0" encoding="utf-8"?>
<sst xmlns="http://schemas.openxmlformats.org/spreadsheetml/2006/main" count="93" uniqueCount="65">
  <si>
    <t>AMG Grads of Anesthesiology Residencies</t>
  </si>
  <si>
    <t>IMG Grads of Anesthesiology Residencies</t>
  </si>
  <si>
    <t>IMG Grads net of J-Visa status</t>
  </si>
  <si>
    <t>Total Grads available to workforce</t>
  </si>
  <si>
    <r>
      <t xml:space="preserve">ASA Active Membership </t>
    </r>
    <r>
      <rPr>
        <vertAlign val="superscript"/>
        <sz val="10"/>
        <rFont val="Arial Narrow"/>
        <family val="2"/>
      </rPr>
      <t>a</t>
    </r>
  </si>
  <si>
    <r>
      <t xml:space="preserve">All active US Anesthesiologists </t>
    </r>
    <r>
      <rPr>
        <vertAlign val="superscript"/>
        <sz val="10"/>
        <rFont val="Arial Narrow"/>
        <family val="2"/>
      </rPr>
      <t>b</t>
    </r>
  </si>
  <si>
    <r>
      <t xml:space="preserve">% female ASA members </t>
    </r>
    <r>
      <rPr>
        <vertAlign val="superscript"/>
        <sz val="10"/>
        <rFont val="Arial Narrow"/>
        <family val="2"/>
      </rPr>
      <t>c</t>
    </r>
  </si>
  <si>
    <r>
      <t xml:space="preserve">ASA retirements </t>
    </r>
    <r>
      <rPr>
        <vertAlign val="superscript"/>
        <sz val="10"/>
        <rFont val="Arial Narrow"/>
        <family val="2"/>
      </rPr>
      <t>d</t>
    </r>
  </si>
  <si>
    <r>
      <t xml:space="preserve">Estimated non-ASA retirements </t>
    </r>
    <r>
      <rPr>
        <vertAlign val="superscript"/>
        <sz val="10"/>
        <rFont val="Arial Narrow"/>
        <family val="2"/>
      </rPr>
      <t>e</t>
    </r>
  </si>
  <si>
    <t>Estimated # of female anesthesiologists</t>
  </si>
  <si>
    <t>Total MD supply (FTE)</t>
  </si>
  <si>
    <t>Demand (2% growth)</t>
  </si>
  <si>
    <t>Excess (shortage) 2%</t>
  </si>
  <si>
    <t>Excess (shortage) 3%</t>
  </si>
  <si>
    <t>LEGEND</t>
  </si>
  <si>
    <t>*Actual ASA #'s, ASA Newsletter, June 2001</t>
  </si>
  <si>
    <t>All US anesthesiologists:1995-1999 from HRSA Factbook; 1994 from AMA</t>
  </si>
  <si>
    <t># based on retirement age of 65; source=Reves &amp; Greene, p.61</t>
  </si>
  <si>
    <t>**estimated, based on ASA-to-all anesthesiologists ratio</t>
  </si>
  <si>
    <t>***estimated, based on gender trends of academic anesthesiologists; source=Reves &amp; Greene, p.64; 1999 cross-referenced to AMA Physician Characteristics and Distribution in the US, 2001-2002 Edition</t>
  </si>
  <si>
    <t>FTE=Full time equivalent</t>
  </si>
  <si>
    <t>****HRSA Factbook, 2000 estimated from net # graduates-#retirements</t>
  </si>
  <si>
    <t>IMG Grads Net of J-Visa status</t>
  </si>
  <si>
    <t>Attrition during residency training</t>
  </si>
  <si>
    <r>
      <t>All active US Anesthesiologists</t>
    </r>
    <r>
      <rPr>
        <vertAlign val="superscript"/>
        <sz val="10"/>
        <rFont val="Arial Narrow"/>
        <family val="2"/>
      </rPr>
      <t xml:space="preserve"> b</t>
    </r>
  </si>
  <si>
    <t>-</t>
  </si>
  <si>
    <t>Legend</t>
  </si>
  <si>
    <r>
      <t>e</t>
    </r>
    <r>
      <rPr>
        <sz val="10"/>
        <rFont val="Arial Narrow"/>
        <family val="2"/>
      </rPr>
      <t xml:space="preserve">  Estimated based on ASA to anesthesiologists ratio</t>
    </r>
  </si>
  <si>
    <r>
      <t>b</t>
    </r>
    <r>
      <rPr>
        <sz val="10"/>
        <rFont val="Arial Narrow"/>
        <family val="2"/>
      </rPr>
      <t xml:space="preserve">  Source: American Medical Association</t>
    </r>
    <r>
      <rPr>
        <vertAlign val="superscript"/>
        <sz val="10"/>
        <rFont val="Arial Narrow"/>
        <family val="2"/>
      </rPr>
      <t>17</t>
    </r>
    <r>
      <rPr>
        <sz val="10"/>
        <rFont val="Arial Narrow"/>
        <family val="2"/>
      </rPr>
      <t>, HRSA Factbook</t>
    </r>
    <r>
      <rPr>
        <vertAlign val="superscript"/>
        <sz val="10"/>
        <rFont val="Arial Narrow"/>
        <family val="2"/>
      </rPr>
      <t>16</t>
    </r>
    <r>
      <rPr>
        <sz val="10"/>
        <rFont val="Arial Narrow"/>
        <family val="2"/>
      </rPr>
      <t>. Total for 2000 + 2001 estimated from graduates less retirements in those years.</t>
    </r>
  </si>
  <si>
    <r>
      <t>d</t>
    </r>
    <r>
      <rPr>
        <sz val="10"/>
        <rFont val="Arial Narrow"/>
        <family val="2"/>
      </rPr>
      <t xml:space="preserve">  Based on retirement age of 65. Source: Reeves &amp; Greene, p. 61</t>
    </r>
    <r>
      <rPr>
        <vertAlign val="superscript"/>
        <sz val="10"/>
        <rFont val="Arial Narrow"/>
        <family val="2"/>
      </rPr>
      <t>11</t>
    </r>
  </si>
  <si>
    <r>
      <t>a</t>
    </r>
    <r>
      <rPr>
        <sz val="10"/>
        <rFont val="Arial Narrow"/>
        <family val="2"/>
      </rPr>
      <t xml:space="preserve">  ASA Membership Data, American Society of Anesthesiologists</t>
    </r>
    <r>
      <rPr>
        <vertAlign val="superscript"/>
        <sz val="10"/>
        <rFont val="Arial Narrow"/>
        <family val="2"/>
      </rPr>
      <t>15</t>
    </r>
  </si>
  <si>
    <r>
      <t>e</t>
    </r>
    <r>
      <rPr>
        <sz val="10"/>
        <rFont val="Arial Narrow"/>
        <family val="2"/>
      </rPr>
      <t xml:space="preserve">  Estimated based on ratio of ASA membership to total anesthesiologists</t>
    </r>
  </si>
  <si>
    <t>Excess (shortage): 1.5% growth</t>
  </si>
  <si>
    <r>
      <t>IMG Grads Net of J-Visa status</t>
    </r>
    <r>
      <rPr>
        <vertAlign val="superscript"/>
        <sz val="10"/>
        <rFont val="Arial Narrow"/>
        <family val="2"/>
      </rPr>
      <t>f</t>
    </r>
  </si>
  <si>
    <t>Fellows, RRC</t>
  </si>
  <si>
    <t>Excess (shortage) based on above</t>
  </si>
  <si>
    <t>Actual Growth Assumed (%)</t>
  </si>
  <si>
    <t>J-Visa Grads</t>
  </si>
  <si>
    <t>15% FTE loss due to part time status</t>
  </si>
  <si>
    <t>Excess (shortage): 1.0% growth</t>
  </si>
  <si>
    <t>J-1 visa holders returning to home</t>
  </si>
  <si>
    <t>J-1 visa holders returning home</t>
  </si>
  <si>
    <t>Excess (shortage) based on actual growth</t>
  </si>
  <si>
    <t>15% workforce participation loss</t>
  </si>
  <si>
    <r>
      <t>a</t>
    </r>
    <r>
      <rPr>
        <sz val="10"/>
        <rFont val="Arial Narrow"/>
        <family val="2"/>
      </rPr>
      <t xml:space="preserve">  Estimated assuming 40% of graduates join ASA</t>
    </r>
  </si>
  <si>
    <r>
      <t>c</t>
    </r>
    <r>
      <rPr>
        <sz val="10"/>
        <rFont val="Arial Narrow"/>
        <family val="2"/>
      </rPr>
      <t xml:space="preserve">  Estimated, based on gender trends of academic anesthesiologists; Source: Reves and Greene, p.61. 1999</t>
    </r>
    <r>
      <rPr>
        <vertAlign val="superscript"/>
        <sz val="10"/>
        <rFont val="Arial Narrow"/>
        <family val="2"/>
      </rPr>
      <t>11</t>
    </r>
    <r>
      <rPr>
        <sz val="10"/>
        <rFont val="Arial Narrow"/>
        <family val="2"/>
      </rPr>
      <t xml:space="preserve"> cross-referenced to AMA Physician  rateCharacteristics and Distribution in the U.S., 2000-2001</t>
    </r>
    <r>
      <rPr>
        <vertAlign val="superscript"/>
        <sz val="10"/>
        <rFont val="Arial Narrow"/>
        <family val="2"/>
      </rPr>
      <t>17</t>
    </r>
  </si>
  <si>
    <r>
      <t>b</t>
    </r>
    <r>
      <rPr>
        <sz val="10"/>
        <rFont val="Arial Narrow"/>
        <family val="2"/>
      </rPr>
      <t xml:space="preserve">  Estimated by net of graduating residents less retirements &amp; deaths; also from AMA Physician surveys minus trainees</t>
    </r>
  </si>
  <si>
    <t>All Residents</t>
  </si>
  <si>
    <t>All residents</t>
  </si>
  <si>
    <t>Estimated total exit (ret's &amp; deaths)</t>
  </si>
  <si>
    <t>Estimated total exit (ret's +1% deaths)</t>
  </si>
  <si>
    <t>Demand (1.0% growth)</t>
  </si>
  <si>
    <t>Demand (3% growth; 2.5% since 1999))</t>
  </si>
  <si>
    <t>Fellows, RRC (estimated CT,peds before 2006)</t>
  </si>
  <si>
    <t>Demand (1.5% growth)</t>
  </si>
  <si>
    <t>Demand (dip in '08-11, then 1.5% fut. demand growth)</t>
  </si>
  <si>
    <t>Excess (shortage): 1.0% constant demand growth</t>
  </si>
  <si>
    <t>Demand (constant 1.0% demand growth)</t>
  </si>
  <si>
    <r>
      <t xml:space="preserve">g   </t>
    </r>
    <r>
      <rPr>
        <sz val="10"/>
        <rFont val="Arial Narrow"/>
        <family val="2"/>
      </rPr>
      <t xml:space="preserve">0.5% less growth due to events of 9-11 and recession </t>
    </r>
  </si>
  <si>
    <r>
      <t>Actual Growth Rate Assumed</t>
    </r>
    <r>
      <rPr>
        <vertAlign val="superscript"/>
        <sz val="10"/>
        <rFont val="Arial Narrow"/>
        <family val="2"/>
      </rPr>
      <t>g</t>
    </r>
  </si>
  <si>
    <t>Demand (dip in '08-11, then 2.2% fut. demand growth)</t>
  </si>
  <si>
    <t>Excess (shortage): dip + 2.2% future demand growth</t>
  </si>
  <si>
    <r>
      <t>d</t>
    </r>
    <r>
      <rPr>
        <sz val="10"/>
        <rFont val="Arial Narrow"/>
        <family val="2"/>
      </rPr>
      <t xml:space="preserve">  Estimated based on retirement at age 65. Source: ASA membership data;  Reeves &amp; Greene, p.61</t>
    </r>
    <r>
      <rPr>
        <vertAlign val="superscript"/>
        <sz val="10"/>
        <rFont val="Arial Narrow"/>
        <family val="2"/>
      </rPr>
      <t>11</t>
    </r>
    <r>
      <rPr>
        <sz val="10"/>
        <rFont val="Arial Narrow"/>
        <family val="2"/>
      </rPr>
      <t>.</t>
    </r>
  </si>
  <si>
    <r>
      <t>c</t>
    </r>
    <r>
      <rPr>
        <sz val="10"/>
        <rFont val="Arial Narrow"/>
        <family val="2"/>
      </rPr>
      <t xml:space="preserve">  Estimated based on gender trends of anesthesiologists. Source: ASA membership data; Reeves &amp; Greene, p.64</t>
    </r>
    <r>
      <rPr>
        <vertAlign val="superscript"/>
        <sz val="10"/>
        <rFont val="Arial Narrow"/>
        <family val="2"/>
      </rPr>
      <t>11</t>
    </r>
    <r>
      <rPr>
        <sz val="10"/>
        <rFont val="Arial Narrow"/>
        <family val="2"/>
      </rPr>
      <t>.</t>
    </r>
  </si>
  <si>
    <t>Excess (shortage): dip + 1.3% future demand growth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</si>
</sst>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* #,##0.0_);_(* \(#,##0.0\);_(* &quot;-&quot;?_);_(@_)"/>
    <numFmt numFmtId="170" formatCode="0.0"/>
    <numFmt numFmtId="171" formatCode="_(* #,##0.000_);_(* \(#,##0.000\);_(* &quot;-&quot;???_);_(@_)"/>
  </numFmts>
  <fonts count="48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sz val="10"/>
      <color indexed="60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sz val="10"/>
      <color rgb="FFC00000"/>
      <name val="Arial Narrow"/>
      <family val="2"/>
    </font>
    <font>
      <sz val="10"/>
      <color theme="5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7" fontId="2" fillId="0" borderId="0" xfId="42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41" fontId="2" fillId="0" borderId="0" xfId="42" applyNumberFormat="1" applyFont="1" applyAlignment="1">
      <alignment horizontal="center"/>
    </xf>
    <xf numFmtId="168" fontId="2" fillId="0" borderId="0" xfId="42" applyNumberFormat="1" applyFont="1" applyAlignment="1">
      <alignment horizontal="center"/>
    </xf>
    <xf numFmtId="167" fontId="44" fillId="0" borderId="0" xfId="42" applyNumberFormat="1" applyFont="1" applyAlignment="1">
      <alignment horizontal="center"/>
    </xf>
    <xf numFmtId="170" fontId="2" fillId="0" borderId="0" xfId="0" applyNumberFormat="1" applyFont="1" applyAlignment="1">
      <alignment horizontal="right"/>
    </xf>
    <xf numFmtId="37" fontId="2" fillId="0" borderId="0" xfId="42" applyNumberFormat="1" applyFont="1" applyAlignment="1">
      <alignment horizontal="right"/>
    </xf>
    <xf numFmtId="0" fontId="45" fillId="0" borderId="0" xfId="0" applyFont="1" applyAlignment="1">
      <alignment wrapText="1"/>
    </xf>
    <xf numFmtId="167" fontId="45" fillId="0" borderId="0" xfId="42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center"/>
    </xf>
    <xf numFmtId="164" fontId="45" fillId="0" borderId="0" xfId="42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 wrapText="1"/>
    </xf>
    <xf numFmtId="167" fontId="46" fillId="0" borderId="0" xfId="42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167" fontId="47" fillId="0" borderId="0" xfId="42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167" fontId="2" fillId="33" borderId="0" xfId="42" applyNumberFormat="1" applyFont="1" applyFill="1" applyAlignment="1">
      <alignment horizontal="center"/>
    </xf>
    <xf numFmtId="0" fontId="2" fillId="33" borderId="0" xfId="0" applyFont="1" applyFill="1" applyAlignment="1">
      <alignment wrapText="1"/>
    </xf>
    <xf numFmtId="167" fontId="2" fillId="9" borderId="0" xfId="42" applyNumberFormat="1" applyFont="1" applyFill="1" applyAlignment="1">
      <alignment horizontal="center"/>
    </xf>
    <xf numFmtId="0" fontId="2" fillId="9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167" fontId="2" fillId="8" borderId="0" xfId="42" applyNumberFormat="1" applyFont="1" applyFill="1" applyAlignment="1">
      <alignment horizontal="center"/>
    </xf>
    <xf numFmtId="0" fontId="2" fillId="8" borderId="0" xfId="0" applyFont="1" applyFill="1" applyBorder="1" applyAlignment="1">
      <alignment horizontal="left"/>
    </xf>
    <xf numFmtId="0" fontId="2" fillId="9" borderId="0" xfId="0" applyFont="1" applyFill="1" applyAlignment="1">
      <alignment/>
    </xf>
    <xf numFmtId="41" fontId="2" fillId="9" borderId="0" xfId="42" applyNumberFormat="1" applyFont="1" applyFill="1" applyAlignment="1">
      <alignment horizontal="center"/>
    </xf>
    <xf numFmtId="167" fontId="2" fillId="0" borderId="0" xfId="42" applyNumberFormat="1" applyFont="1" applyFill="1" applyAlignment="1">
      <alignment horizontal="center"/>
    </xf>
    <xf numFmtId="41" fontId="2" fillId="33" borderId="0" xfId="42" applyNumberFormat="1" applyFont="1" applyFill="1" applyAlignment="1">
      <alignment horizontal="center"/>
    </xf>
    <xf numFmtId="0" fontId="26" fillId="0" borderId="0" xfId="0" applyFont="1" applyAlignment="1">
      <alignment wrapText="1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16" borderId="0" xfId="0" applyFont="1" applyFill="1" applyAlignment="1">
      <alignment wrapText="1"/>
    </xf>
    <xf numFmtId="167" fontId="2" fillId="16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38" sqref="A38:H38"/>
    </sheetView>
  </sheetViews>
  <sheetFormatPr defaultColWidth="9.140625" defaultRowHeight="12.75"/>
  <cols>
    <col min="1" max="1" width="29.57421875" style="2" customWidth="1"/>
    <col min="2" max="8" width="7.7109375" style="7" customWidth="1"/>
    <col min="9" max="16384" width="9.140625" style="2" customWidth="1"/>
  </cols>
  <sheetData>
    <row r="1" spans="1:9" ht="13.5" customHeight="1">
      <c r="A1" s="13"/>
      <c r="B1" s="1">
        <v>1994</v>
      </c>
      <c r="C1" s="1">
        <v>1995</v>
      </c>
      <c r="D1" s="1">
        <v>1996</v>
      </c>
      <c r="E1" s="1">
        <v>1997</v>
      </c>
      <c r="F1" s="1">
        <v>1998</v>
      </c>
      <c r="G1" s="1">
        <v>1999</v>
      </c>
      <c r="H1" s="1">
        <v>2000</v>
      </c>
      <c r="I1" s="1">
        <v>2001</v>
      </c>
    </row>
    <row r="2" spans="1:9" ht="13.5" customHeight="1">
      <c r="A2" s="2" t="s">
        <v>0</v>
      </c>
      <c r="B2" s="3">
        <v>1743</v>
      </c>
      <c r="C2" s="3">
        <v>1814</v>
      </c>
      <c r="D2" s="3">
        <v>1775</v>
      </c>
      <c r="E2" s="3">
        <v>1487</v>
      </c>
      <c r="F2" s="3">
        <v>1173</v>
      </c>
      <c r="G2" s="3">
        <v>947</v>
      </c>
      <c r="H2" s="3">
        <v>934</v>
      </c>
      <c r="I2" s="3">
        <v>1133</v>
      </c>
    </row>
    <row r="3" spans="1:9" ht="13.5" customHeight="1">
      <c r="A3" s="2" t="s">
        <v>1</v>
      </c>
      <c r="B3" s="3">
        <v>217</v>
      </c>
      <c r="C3" s="3">
        <v>316</v>
      </c>
      <c r="D3" s="3">
        <v>339</v>
      </c>
      <c r="E3" s="3">
        <v>347</v>
      </c>
      <c r="F3" s="3">
        <v>308</v>
      </c>
      <c r="G3" s="3">
        <v>348</v>
      </c>
      <c r="H3" s="3">
        <v>527</v>
      </c>
      <c r="I3" s="3">
        <v>634</v>
      </c>
    </row>
    <row r="4" spans="1:9" ht="13.5" customHeight="1">
      <c r="A4" s="2" t="s">
        <v>2</v>
      </c>
      <c r="B4" s="3">
        <f>B3*0.85</f>
        <v>184.45</v>
      </c>
      <c r="C4" s="3">
        <f aca="true" t="shared" si="0" ref="C4:I4">C3*0.85</f>
        <v>268.59999999999997</v>
      </c>
      <c r="D4" s="3">
        <f t="shared" si="0"/>
        <v>288.15</v>
      </c>
      <c r="E4" s="3">
        <f t="shared" si="0"/>
        <v>294.95</v>
      </c>
      <c r="F4" s="3">
        <f t="shared" si="0"/>
        <v>261.8</v>
      </c>
      <c r="G4" s="3">
        <f t="shared" si="0"/>
        <v>295.8</v>
      </c>
      <c r="H4" s="3">
        <f t="shared" si="0"/>
        <v>447.95</v>
      </c>
      <c r="I4" s="3">
        <f t="shared" si="0"/>
        <v>538.9</v>
      </c>
    </row>
    <row r="5" spans="1:9" ht="13.5" customHeight="1">
      <c r="A5" s="11" t="s">
        <v>34</v>
      </c>
      <c r="B5" s="3">
        <v>325</v>
      </c>
      <c r="C5" s="3">
        <v>340</v>
      </c>
      <c r="D5" s="3">
        <v>325</v>
      </c>
      <c r="E5" s="3">
        <v>311</v>
      </c>
      <c r="F5" s="3">
        <v>326</v>
      </c>
      <c r="G5" s="3">
        <v>307</v>
      </c>
      <c r="H5" s="3">
        <v>296</v>
      </c>
      <c r="I5" s="3">
        <v>273</v>
      </c>
    </row>
    <row r="6" spans="1:9" ht="13.5" customHeight="1">
      <c r="A6" s="11" t="s">
        <v>37</v>
      </c>
      <c r="B6" s="3">
        <f>B3-B4</f>
        <v>32.55000000000001</v>
      </c>
      <c r="C6" s="3">
        <f aca="true" t="shared" si="1" ref="C6:I6">C3-C4</f>
        <v>47.400000000000034</v>
      </c>
      <c r="D6" s="3">
        <f t="shared" si="1"/>
        <v>50.85000000000002</v>
      </c>
      <c r="E6" s="3">
        <f t="shared" si="1"/>
        <v>52.05000000000001</v>
      </c>
      <c r="F6" s="3">
        <f t="shared" si="1"/>
        <v>46.19999999999999</v>
      </c>
      <c r="G6" s="3">
        <f t="shared" si="1"/>
        <v>52.19999999999999</v>
      </c>
      <c r="H6" s="3">
        <f t="shared" si="1"/>
        <v>79.05000000000001</v>
      </c>
      <c r="I6" s="3">
        <f t="shared" si="1"/>
        <v>95.10000000000002</v>
      </c>
    </row>
    <row r="7" spans="1:9" ht="13.5" customHeight="1">
      <c r="A7" s="2" t="s">
        <v>3</v>
      </c>
      <c r="B7" s="3">
        <f>B2-B5-B6+280</f>
        <v>1665.45</v>
      </c>
      <c r="C7" s="3">
        <f>C2-C5-C6+B5</f>
        <v>1751.6</v>
      </c>
      <c r="D7" s="3">
        <f aca="true" t="shared" si="2" ref="D7:I7">D2-D5-D6+C5</f>
        <v>1739.15</v>
      </c>
      <c r="E7" s="3">
        <f t="shared" si="2"/>
        <v>1448.95</v>
      </c>
      <c r="F7" s="3">
        <f t="shared" si="2"/>
        <v>1111.8</v>
      </c>
      <c r="G7" s="3">
        <f t="shared" si="2"/>
        <v>913.8</v>
      </c>
      <c r="H7" s="3">
        <f t="shared" si="2"/>
        <v>865.95</v>
      </c>
      <c r="I7" s="3">
        <f t="shared" si="2"/>
        <v>1060.9</v>
      </c>
    </row>
    <row r="8" spans="2:9" ht="13.5" customHeight="1">
      <c r="B8" s="3"/>
      <c r="C8" s="3"/>
      <c r="D8" s="3"/>
      <c r="E8" s="3"/>
      <c r="F8" s="3"/>
      <c r="G8" s="3"/>
      <c r="H8" s="3"/>
      <c r="I8" s="3"/>
    </row>
    <row r="9" spans="1:9" ht="13.5" customHeight="1">
      <c r="A9" s="2" t="s">
        <v>47</v>
      </c>
      <c r="B9" s="3">
        <v>5868</v>
      </c>
      <c r="C9" s="3">
        <v>4951</v>
      </c>
      <c r="D9" s="3">
        <v>4366</v>
      </c>
      <c r="E9" s="3">
        <v>3718</v>
      </c>
      <c r="F9" s="3">
        <v>3672</v>
      </c>
      <c r="G9" s="3">
        <v>3963</v>
      </c>
      <c r="H9" s="3">
        <v>4343</v>
      </c>
      <c r="I9" s="3">
        <v>4636</v>
      </c>
    </row>
    <row r="10" spans="1:9" ht="13.5" customHeight="1">
      <c r="A10" s="2" t="s">
        <v>4</v>
      </c>
      <c r="B10" s="3">
        <v>21486</v>
      </c>
      <c r="C10" s="3">
        <v>21294</v>
      </c>
      <c r="D10" s="3">
        <v>22371</v>
      </c>
      <c r="E10" s="3">
        <v>22828</v>
      </c>
      <c r="F10" s="3">
        <v>23056</v>
      </c>
      <c r="G10" s="3">
        <v>23697</v>
      </c>
      <c r="H10" s="3">
        <v>23983</v>
      </c>
      <c r="I10" s="3">
        <v>24096</v>
      </c>
    </row>
    <row r="11" spans="1:9" ht="13.5" customHeight="1">
      <c r="A11" s="2" t="s">
        <v>5</v>
      </c>
      <c r="B11" s="3">
        <v>31816</v>
      </c>
      <c r="C11" s="3">
        <v>32853</v>
      </c>
      <c r="D11" s="3">
        <v>33318</v>
      </c>
      <c r="E11" s="3">
        <v>33730</v>
      </c>
      <c r="F11" s="3">
        <v>33947</v>
      </c>
      <c r="G11" s="3">
        <f>34747</f>
        <v>34747</v>
      </c>
      <c r="H11" s="3">
        <f>G11+H7-G15-4</f>
        <v>34849.68590921142</v>
      </c>
      <c r="I11" s="3">
        <f>H11+I7-H15-60</f>
        <v>35032.15956765675</v>
      </c>
    </row>
    <row r="12" spans="1:9" ht="13.5" customHeight="1">
      <c r="A12" s="2" t="s">
        <v>6</v>
      </c>
      <c r="B12" s="3">
        <v>16</v>
      </c>
      <c r="C12" s="3">
        <v>17</v>
      </c>
      <c r="D12" s="3">
        <v>17</v>
      </c>
      <c r="E12" s="3">
        <v>18</v>
      </c>
      <c r="F12" s="3">
        <v>19</v>
      </c>
      <c r="G12" s="3">
        <v>20</v>
      </c>
      <c r="H12" s="3">
        <v>20</v>
      </c>
      <c r="I12" s="3">
        <v>21</v>
      </c>
    </row>
    <row r="13" spans="1:10" ht="13.5" customHeight="1">
      <c r="A13" s="2" t="s">
        <v>7</v>
      </c>
      <c r="B13" s="3">
        <v>200</v>
      </c>
      <c r="C13" s="3">
        <v>250</v>
      </c>
      <c r="D13" s="3">
        <v>250</v>
      </c>
      <c r="E13" s="3">
        <v>250</v>
      </c>
      <c r="F13" s="3">
        <v>250</v>
      </c>
      <c r="G13" s="3">
        <v>280</v>
      </c>
      <c r="H13" s="3">
        <v>300</v>
      </c>
      <c r="I13" s="3">
        <v>320</v>
      </c>
      <c r="J13" s="4"/>
    </row>
    <row r="14" spans="1:9" ht="13.5" customHeight="1">
      <c r="A14" s="2" t="s">
        <v>8</v>
      </c>
      <c r="B14" s="3">
        <f>B13*B10/B11</f>
        <v>135.06411868242392</v>
      </c>
      <c r="C14" s="3">
        <f aca="true" t="shared" si="3" ref="C14:I14">C13*C10/C11</f>
        <v>162.03999634736553</v>
      </c>
      <c r="D14" s="3">
        <f t="shared" si="3"/>
        <v>167.8597154691158</v>
      </c>
      <c r="E14" s="3">
        <f t="shared" si="3"/>
        <v>169.19656092499258</v>
      </c>
      <c r="F14" s="3">
        <f t="shared" si="3"/>
        <v>169.7940907885822</v>
      </c>
      <c r="G14" s="3">
        <f t="shared" si="3"/>
        <v>190.95634155466658</v>
      </c>
      <c r="H14" s="3">
        <f t="shared" si="3"/>
        <v>206.4552323009102</v>
      </c>
      <c r="I14" s="3">
        <f t="shared" si="3"/>
        <v>220.1040442599171</v>
      </c>
    </row>
    <row r="15" spans="1:9" ht="13.5" customHeight="1">
      <c r="A15" s="2" t="s">
        <v>50</v>
      </c>
      <c r="B15" s="3">
        <f>B13+B14+B11*0.01</f>
        <v>653.224118682424</v>
      </c>
      <c r="C15" s="3">
        <f>B13+B14+(B11*0.01)</f>
        <v>653.224118682424</v>
      </c>
      <c r="D15" s="3">
        <f aca="true" t="shared" si="4" ref="D15:I15">C13+C14+(C11*0.01)</f>
        <v>740.5699963473655</v>
      </c>
      <c r="E15" s="3">
        <f t="shared" si="4"/>
        <v>751.0397154691159</v>
      </c>
      <c r="F15" s="3">
        <f t="shared" si="4"/>
        <v>756.4965609249925</v>
      </c>
      <c r="G15" s="3">
        <f t="shared" si="4"/>
        <v>759.2640907885823</v>
      </c>
      <c r="H15" s="3">
        <f t="shared" si="4"/>
        <v>818.4263415546666</v>
      </c>
      <c r="I15" s="3">
        <f t="shared" si="4"/>
        <v>854.9520913930244</v>
      </c>
    </row>
    <row r="16" spans="1:9" ht="13.5" customHeight="1">
      <c r="A16" s="2" t="s">
        <v>9</v>
      </c>
      <c r="B16" s="3">
        <f aca="true" t="shared" si="5" ref="B16:H16">B11*(B12/100)</f>
        <v>5090.56</v>
      </c>
      <c r="C16" s="3">
        <f t="shared" si="5"/>
        <v>5585.01</v>
      </c>
      <c r="D16" s="3">
        <f t="shared" si="5"/>
        <v>5664.06</v>
      </c>
      <c r="E16" s="3">
        <f t="shared" si="5"/>
        <v>6071.4</v>
      </c>
      <c r="F16" s="3">
        <f t="shared" si="5"/>
        <v>6449.93</v>
      </c>
      <c r="G16" s="3">
        <f t="shared" si="5"/>
        <v>6949.400000000001</v>
      </c>
      <c r="H16" s="3">
        <f t="shared" si="5"/>
        <v>6969.937181842284</v>
      </c>
      <c r="I16" s="3">
        <f>I11*(I12/100)</f>
        <v>7356.753509207918</v>
      </c>
    </row>
    <row r="17" spans="1:9" ht="13.5" customHeight="1">
      <c r="A17" s="2" t="s">
        <v>38</v>
      </c>
      <c r="B17" s="3">
        <f>B16*0.15</f>
        <v>763.5840000000001</v>
      </c>
      <c r="C17" s="3">
        <f aca="true" t="shared" si="6" ref="C17:I17">C16*0.15</f>
        <v>837.7515</v>
      </c>
      <c r="D17" s="3">
        <f t="shared" si="6"/>
        <v>849.609</v>
      </c>
      <c r="E17" s="3">
        <f t="shared" si="6"/>
        <v>910.7099999999999</v>
      </c>
      <c r="F17" s="3">
        <f t="shared" si="6"/>
        <v>967.4895</v>
      </c>
      <c r="G17" s="3">
        <f t="shared" si="6"/>
        <v>1042.41</v>
      </c>
      <c r="H17" s="3">
        <f t="shared" si="6"/>
        <v>1045.4905772763425</v>
      </c>
      <c r="I17" s="3">
        <f t="shared" si="6"/>
        <v>1103.5130263811877</v>
      </c>
    </row>
    <row r="18" spans="2:9" ht="13.5" customHeight="1">
      <c r="B18" s="3"/>
      <c r="C18" s="3"/>
      <c r="D18" s="3"/>
      <c r="E18" s="3"/>
      <c r="F18" s="3"/>
      <c r="G18" s="3"/>
      <c r="H18" s="3"/>
      <c r="I18" s="3"/>
    </row>
    <row r="19" spans="1:9" ht="13.5" customHeight="1">
      <c r="A19" s="52" t="s">
        <v>10</v>
      </c>
      <c r="B19" s="51">
        <f aca="true" t="shared" si="7" ref="B19:I19">B11-B17</f>
        <v>31052.416</v>
      </c>
      <c r="C19" s="51">
        <f t="shared" si="7"/>
        <v>32015.2485</v>
      </c>
      <c r="D19" s="51">
        <f t="shared" si="7"/>
        <v>32468.391</v>
      </c>
      <c r="E19" s="51">
        <f t="shared" si="7"/>
        <v>32819.29</v>
      </c>
      <c r="F19" s="51">
        <f t="shared" si="7"/>
        <v>32979.5105</v>
      </c>
      <c r="G19" s="51">
        <f t="shared" si="7"/>
        <v>33704.59</v>
      </c>
      <c r="H19" s="51">
        <f t="shared" si="7"/>
        <v>33804.19533193507</v>
      </c>
      <c r="I19" s="51">
        <f t="shared" si="7"/>
        <v>33928.646541275564</v>
      </c>
    </row>
    <row r="20" spans="1:9" ht="13.5" customHeight="1">
      <c r="A20" s="62" t="s">
        <v>11</v>
      </c>
      <c r="B20" s="46">
        <f>B19</f>
        <v>31052.416</v>
      </c>
      <c r="C20" s="46">
        <f aca="true" t="shared" si="8" ref="C20:I20">B20*1.02</f>
        <v>31673.464320000003</v>
      </c>
      <c r="D20" s="46">
        <f t="shared" si="8"/>
        <v>32306.9336064</v>
      </c>
      <c r="E20" s="46">
        <f t="shared" si="8"/>
        <v>32953.072278528</v>
      </c>
      <c r="F20" s="46">
        <f t="shared" si="8"/>
        <v>33612.13372409856</v>
      </c>
      <c r="G20" s="46">
        <f t="shared" si="8"/>
        <v>34284.376398580534</v>
      </c>
      <c r="H20" s="46">
        <f t="shared" si="8"/>
        <v>34970.063926552146</v>
      </c>
      <c r="I20" s="46">
        <f t="shared" si="8"/>
        <v>35669.46520508319</v>
      </c>
    </row>
    <row r="21" spans="1:9" ht="13.5" customHeight="1">
      <c r="A21" s="53" t="s">
        <v>52</v>
      </c>
      <c r="B21" s="48">
        <f>B19</f>
        <v>31052.416</v>
      </c>
      <c r="C21" s="48">
        <f>B21*1.03</f>
        <v>31983.988480000004</v>
      </c>
      <c r="D21" s="48">
        <f>C21*1.03</f>
        <v>32943.50813440001</v>
      </c>
      <c r="E21" s="48">
        <f>D21*1.03</f>
        <v>33931.81337843201</v>
      </c>
      <c r="F21" s="48">
        <f>E21*1.03</f>
        <v>34949.76777978497</v>
      </c>
      <c r="G21" s="48">
        <f>F21*1.025</f>
        <v>35823.51197427959</v>
      </c>
      <c r="H21" s="48">
        <f>G21*1.02</f>
        <v>36539.98221376518</v>
      </c>
      <c r="I21" s="48">
        <f>37382*1.02</f>
        <v>38129.64</v>
      </c>
    </row>
    <row r="22" spans="1:9" ht="13.5" customHeight="1">
      <c r="A22" s="2" t="s">
        <v>12</v>
      </c>
      <c r="B22" s="3">
        <f aca="true" t="shared" si="9" ref="B22:H22">B19-B20</f>
        <v>0</v>
      </c>
      <c r="C22" s="3">
        <f t="shared" si="9"/>
        <v>341.78417999999874</v>
      </c>
      <c r="D22" s="3">
        <f t="shared" si="9"/>
        <v>161.45739359999789</v>
      </c>
      <c r="E22" s="3">
        <f t="shared" si="9"/>
        <v>-133.78227852800046</v>
      </c>
      <c r="F22" s="3">
        <f t="shared" si="9"/>
        <v>-632.6232240985628</v>
      </c>
      <c r="G22" s="3">
        <f t="shared" si="9"/>
        <v>-579.7863985805379</v>
      </c>
      <c r="H22" s="3">
        <f t="shared" si="9"/>
        <v>-1165.8685946170735</v>
      </c>
      <c r="I22" s="3">
        <f>I19-I20</f>
        <v>-1740.8186638076222</v>
      </c>
    </row>
    <row r="23" spans="1:9" ht="13.5" customHeight="1">
      <c r="A23" s="2" t="s">
        <v>13</v>
      </c>
      <c r="B23" s="3">
        <f aca="true" t="shared" si="10" ref="B23:H23">B19-B21</f>
        <v>0</v>
      </c>
      <c r="C23" s="3">
        <f t="shared" si="10"/>
        <v>31.260019999997894</v>
      </c>
      <c r="D23" s="3">
        <f t="shared" si="10"/>
        <v>-475.11713440000676</v>
      </c>
      <c r="E23" s="3">
        <f t="shared" si="10"/>
        <v>-1112.523378432008</v>
      </c>
      <c r="F23" s="3">
        <f t="shared" si="10"/>
        <v>-1970.2572797849716</v>
      </c>
      <c r="G23" s="3">
        <f t="shared" si="10"/>
        <v>-2118.9219742795904</v>
      </c>
      <c r="H23" s="3">
        <f t="shared" si="10"/>
        <v>-2735.7868818301067</v>
      </c>
      <c r="I23" s="3">
        <f>I19-I21</f>
        <v>-4200.993458724435</v>
      </c>
    </row>
    <row r="24" spans="1:9" ht="13.5" customHeight="1">
      <c r="A24" s="2" t="s">
        <v>59</v>
      </c>
      <c r="B24" s="5" t="s">
        <v>25</v>
      </c>
      <c r="C24" s="21">
        <v>3</v>
      </c>
      <c r="D24" s="21">
        <v>3</v>
      </c>
      <c r="E24" s="21">
        <v>3</v>
      </c>
      <c r="F24" s="21">
        <v>3</v>
      </c>
      <c r="G24" s="21">
        <v>2.5</v>
      </c>
      <c r="H24" s="21">
        <v>2</v>
      </c>
      <c r="I24" s="21">
        <v>2</v>
      </c>
    </row>
    <row r="25" ht="12.75" hidden="1">
      <c r="A25" s="6" t="s">
        <v>14</v>
      </c>
    </row>
    <row r="26" ht="12.75" hidden="1">
      <c r="A26" s="2" t="s">
        <v>15</v>
      </c>
    </row>
    <row r="27" ht="12.75" hidden="1">
      <c r="A27" s="2" t="s">
        <v>16</v>
      </c>
    </row>
    <row r="28" ht="12.75" hidden="1">
      <c r="A28" s="2" t="s">
        <v>17</v>
      </c>
    </row>
    <row r="29" ht="12.75" hidden="1">
      <c r="A29" s="2" t="s">
        <v>18</v>
      </c>
    </row>
    <row r="30" ht="12.75" hidden="1">
      <c r="A30" s="2" t="s">
        <v>19</v>
      </c>
    </row>
    <row r="31" ht="12.75" hidden="1">
      <c r="A31" s="2" t="s">
        <v>20</v>
      </c>
    </row>
    <row r="32" ht="12.75" hidden="1">
      <c r="A32" s="2" t="s">
        <v>21</v>
      </c>
    </row>
    <row r="33" spans="1:9" s="26" customFormat="1" ht="12.75">
      <c r="A33" s="26" t="s">
        <v>42</v>
      </c>
      <c r="B33" s="27"/>
      <c r="C33" s="28">
        <f aca="true" t="shared" si="11" ref="C33:I33">C23</f>
        <v>31.260019999997894</v>
      </c>
      <c r="D33" s="28">
        <f t="shared" si="11"/>
        <v>-475.11713440000676</v>
      </c>
      <c r="E33" s="28">
        <f t="shared" si="11"/>
        <v>-1112.523378432008</v>
      </c>
      <c r="F33" s="28">
        <f t="shared" si="11"/>
        <v>-1970.2572797849716</v>
      </c>
      <c r="G33" s="29">
        <f t="shared" si="11"/>
        <v>-2118.9219742795904</v>
      </c>
      <c r="H33" s="29">
        <f t="shared" si="11"/>
        <v>-2735.7868818301067</v>
      </c>
      <c r="I33" s="29">
        <f t="shared" si="11"/>
        <v>-4200.993458724435</v>
      </c>
    </row>
    <row r="35" ht="12.75">
      <c r="A35" s="17" t="s">
        <v>26</v>
      </c>
    </row>
    <row r="36" ht="15">
      <c r="A36" s="15" t="s">
        <v>30</v>
      </c>
    </row>
    <row r="37" spans="1:8" ht="24.75" customHeight="1">
      <c r="A37" s="41" t="s">
        <v>28</v>
      </c>
      <c r="B37" s="42"/>
      <c r="C37" s="42"/>
      <c r="D37" s="42"/>
      <c r="E37" s="42"/>
      <c r="F37" s="42"/>
      <c r="G37" s="42"/>
      <c r="H37" s="42"/>
    </row>
    <row r="38" spans="1:8" ht="27" customHeight="1">
      <c r="A38" s="41" t="s">
        <v>45</v>
      </c>
      <c r="B38" s="42"/>
      <c r="C38" s="42"/>
      <c r="D38" s="42"/>
      <c r="E38" s="42"/>
      <c r="F38" s="42"/>
      <c r="G38" s="42"/>
      <c r="H38" s="42"/>
    </row>
    <row r="39" ht="15">
      <c r="A39" s="16" t="s">
        <v>29</v>
      </c>
    </row>
    <row r="40" ht="15">
      <c r="A40" s="15" t="s">
        <v>31</v>
      </c>
    </row>
    <row r="41" spans="1:16" ht="12.75">
      <c r="A41" s="43" t="s">
        <v>58</v>
      </c>
      <c r="B41" s="44"/>
      <c r="C41" s="44"/>
      <c r="D41" s="44"/>
      <c r="I41" s="9"/>
      <c r="J41" s="9"/>
      <c r="K41" s="9"/>
      <c r="L41" s="9"/>
      <c r="M41" s="9"/>
      <c r="N41" s="9"/>
      <c r="O41" s="9"/>
      <c r="P41" s="9"/>
    </row>
  </sheetData>
  <sheetProtection/>
  <mergeCells count="3">
    <mergeCell ref="A38:H38"/>
    <mergeCell ref="A37:H37"/>
    <mergeCell ref="A41:D41"/>
  </mergeCells>
  <printOptions horizontalCentered="1"/>
  <pageMargins left="0.4" right="0.4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1">
      <selection activeCell="B51" sqref="B51:C51"/>
    </sheetView>
  </sheetViews>
  <sheetFormatPr defaultColWidth="9.140625" defaultRowHeight="12.75"/>
  <cols>
    <col min="1" max="1" width="43.57421875" style="11" customWidth="1"/>
    <col min="2" max="8" width="7.7109375" style="7" customWidth="1"/>
    <col min="9" max="16" width="7.7109375" style="9" customWidth="1"/>
    <col min="17" max="16384" width="9.140625" style="2" customWidth="1"/>
  </cols>
  <sheetData>
    <row r="1" spans="1:16" ht="13.5" customHeight="1">
      <c r="A1" s="10"/>
      <c r="B1" s="1">
        <v>2002</v>
      </c>
      <c r="C1" s="1">
        <v>2003</v>
      </c>
      <c r="D1" s="1">
        <v>2004</v>
      </c>
      <c r="E1" s="1">
        <v>2005</v>
      </c>
      <c r="F1" s="1">
        <v>2006</v>
      </c>
      <c r="G1" s="1">
        <v>2007</v>
      </c>
      <c r="H1" s="1">
        <v>2008</v>
      </c>
      <c r="P1" s="2"/>
    </row>
    <row r="2" spans="1:16" ht="13.5" customHeight="1">
      <c r="A2" s="11" t="s">
        <v>0</v>
      </c>
      <c r="B2" s="3">
        <v>1284</v>
      </c>
      <c r="C2" s="3">
        <v>1333</v>
      </c>
      <c r="D2" s="3">
        <v>1393</v>
      </c>
      <c r="E2" s="3">
        <v>1390</v>
      </c>
      <c r="F2" s="3">
        <v>1395</v>
      </c>
      <c r="G2" s="3">
        <v>1530</v>
      </c>
      <c r="H2" s="3">
        <v>1524</v>
      </c>
      <c r="P2" s="2"/>
    </row>
    <row r="3" spans="1:16" ht="13.5" customHeight="1">
      <c r="A3" s="11" t="s">
        <v>1</v>
      </c>
      <c r="B3" s="3">
        <v>650</v>
      </c>
      <c r="C3" s="3">
        <v>598</v>
      </c>
      <c r="D3" s="3">
        <v>486</v>
      </c>
      <c r="E3" s="3">
        <f>D3-65</f>
        <v>421</v>
      </c>
      <c r="F3" s="3">
        <v>300</v>
      </c>
      <c r="G3" s="3">
        <v>125</v>
      </c>
      <c r="H3" s="3">
        <v>100</v>
      </c>
      <c r="P3" s="2"/>
    </row>
    <row r="4" spans="1:16" ht="13.5" customHeight="1">
      <c r="A4" s="11" t="s">
        <v>33</v>
      </c>
      <c r="B4" s="3">
        <f>B3*0.85</f>
        <v>552.5</v>
      </c>
      <c r="C4" s="3">
        <f>C3-120</f>
        <v>478</v>
      </c>
      <c r="D4" s="3">
        <f>D3-89</f>
        <v>397</v>
      </c>
      <c r="E4" s="18">
        <f>E3*0.8</f>
        <v>336.8</v>
      </c>
      <c r="F4" s="18">
        <f>F3*0.8</f>
        <v>240</v>
      </c>
      <c r="G4" s="18">
        <f>G3*0.8</f>
        <v>100</v>
      </c>
      <c r="H4" s="18">
        <f>H3*0.8</f>
        <v>80</v>
      </c>
      <c r="P4" s="2"/>
    </row>
    <row r="5" spans="1:16" ht="13.5" customHeight="1">
      <c r="A5" s="11" t="s">
        <v>40</v>
      </c>
      <c r="B5" s="3">
        <f>(B3-B4)*0.5</f>
        <v>48.75</v>
      </c>
      <c r="C5" s="3">
        <f aca="true" t="shared" si="0" ref="C5:H5">(C3-C4)*0.5</f>
        <v>60</v>
      </c>
      <c r="D5" s="3">
        <f t="shared" si="0"/>
        <v>44.5</v>
      </c>
      <c r="E5" s="3">
        <f t="shared" si="0"/>
        <v>42.099999999999994</v>
      </c>
      <c r="F5" s="3">
        <f t="shared" si="0"/>
        <v>30</v>
      </c>
      <c r="G5" s="3">
        <f t="shared" si="0"/>
        <v>12.5</v>
      </c>
      <c r="H5" s="3">
        <f t="shared" si="0"/>
        <v>10</v>
      </c>
      <c r="P5" s="2"/>
    </row>
    <row r="6" spans="1:16" ht="13.5" customHeight="1">
      <c r="A6" s="11" t="s">
        <v>23</v>
      </c>
      <c r="B6" s="3">
        <v>101</v>
      </c>
      <c r="C6" s="3">
        <v>120</v>
      </c>
      <c r="D6" s="3">
        <v>73</v>
      </c>
      <c r="E6" s="3">
        <v>81</v>
      </c>
      <c r="F6" s="3">
        <v>101</v>
      </c>
      <c r="G6" s="3">
        <v>-91</v>
      </c>
      <c r="H6" s="3">
        <f>(H2+H3)*0.03</f>
        <v>48.72</v>
      </c>
      <c r="P6" s="2"/>
    </row>
    <row r="7" spans="1:16" ht="13.5" customHeight="1">
      <c r="A7" s="11" t="s">
        <v>53</v>
      </c>
      <c r="B7" s="3">
        <f>260+100</f>
        <v>360</v>
      </c>
      <c r="C7" s="3">
        <f>279+100</f>
        <v>379</v>
      </c>
      <c r="D7" s="3">
        <f>277+125</f>
        <v>402</v>
      </c>
      <c r="E7" s="3">
        <f>283+150</f>
        <v>433</v>
      </c>
      <c r="F7" s="3">
        <v>451</v>
      </c>
      <c r="G7" s="3">
        <v>429</v>
      </c>
      <c r="H7" s="3">
        <v>525</v>
      </c>
      <c r="P7" s="2"/>
    </row>
    <row r="8" spans="1:16" ht="13.5" customHeight="1">
      <c r="A8" s="11" t="s">
        <v>3</v>
      </c>
      <c r="B8" s="3">
        <f>B2-B5-B7+273</f>
        <v>1148.25</v>
      </c>
      <c r="C8" s="3">
        <f aca="true" t="shared" si="1" ref="C8:H8">C2-C5-C7+B7</f>
        <v>1254</v>
      </c>
      <c r="D8" s="3">
        <f t="shared" si="1"/>
        <v>1325.5</v>
      </c>
      <c r="E8" s="3">
        <f t="shared" si="1"/>
        <v>1316.9</v>
      </c>
      <c r="F8" s="3">
        <f t="shared" si="1"/>
        <v>1347</v>
      </c>
      <c r="G8" s="3">
        <f t="shared" si="1"/>
        <v>1539.5</v>
      </c>
      <c r="H8" s="3">
        <f t="shared" si="1"/>
        <v>1418</v>
      </c>
      <c r="P8" s="2"/>
    </row>
    <row r="9" spans="2:16" ht="13.5" customHeight="1">
      <c r="B9" s="3"/>
      <c r="C9" s="3"/>
      <c r="D9" s="3"/>
      <c r="E9" s="3"/>
      <c r="F9" s="3"/>
      <c r="G9" s="3"/>
      <c r="H9" s="3"/>
      <c r="P9" s="2"/>
    </row>
    <row r="10" spans="1:16" ht="13.5" customHeight="1">
      <c r="A10" s="11" t="s">
        <v>48</v>
      </c>
      <c r="B10" s="3">
        <v>4886</v>
      </c>
      <c r="C10" s="3">
        <v>4878</v>
      </c>
      <c r="D10" s="3">
        <v>4989</v>
      </c>
      <c r="E10" s="3">
        <v>5156</v>
      </c>
      <c r="F10" s="3">
        <v>5337</v>
      </c>
      <c r="G10" s="3">
        <v>5472</v>
      </c>
      <c r="H10" s="3">
        <v>5571</v>
      </c>
      <c r="P10" s="2"/>
    </row>
    <row r="11" spans="1:16" ht="13.5" customHeight="1">
      <c r="A11" s="2" t="s">
        <v>4</v>
      </c>
      <c r="B11" s="3">
        <f>'Table 1a'!I10+(0.3*B8)</f>
        <v>24440.475</v>
      </c>
      <c r="C11" s="3">
        <f>B11+(0.3*C8)</f>
        <v>24816.675</v>
      </c>
      <c r="D11" s="3">
        <f>C11+(0.3*D8)</f>
        <v>25214.325</v>
      </c>
      <c r="E11" s="3">
        <f>D11+(0.3*E8)</f>
        <v>25609.395</v>
      </c>
      <c r="F11" s="20">
        <v>25757</v>
      </c>
      <c r="G11" s="3">
        <f>F11+(0.3*G8)</f>
        <v>26218.85</v>
      </c>
      <c r="H11" s="3">
        <f>G11+(0.3*H8)</f>
        <v>26644.25</v>
      </c>
      <c r="P11" s="2"/>
    </row>
    <row r="12" spans="1:16" ht="13.5" customHeight="1">
      <c r="A12" s="2" t="s">
        <v>5</v>
      </c>
      <c r="B12" s="3">
        <f>'Table 1a'!I11+B8-'Table 1a'!I15-16</f>
        <v>35309.45747626373</v>
      </c>
      <c r="C12" s="3">
        <f>B12+C8-B16-36</f>
        <v>35804.516525196064</v>
      </c>
      <c r="D12" s="3">
        <f>C12+D8-C16-21</f>
        <v>36386.575282096506</v>
      </c>
      <c r="E12" s="3">
        <f>D12+E8-D16-20</f>
        <v>36955.9987213098</v>
      </c>
      <c r="F12" s="20">
        <f>41214*0.901</f>
        <v>37133.814</v>
      </c>
      <c r="G12" s="3">
        <f>F12+G8-F16-26</f>
        <v>37885.61217142339</v>
      </c>
      <c r="H12" s="20">
        <f>42230*0.901</f>
        <v>38049.23</v>
      </c>
      <c r="P12" s="2"/>
    </row>
    <row r="13" spans="1:16" ht="13.5" customHeight="1">
      <c r="A13" s="2" t="s">
        <v>6</v>
      </c>
      <c r="B13" s="3">
        <f>'Table 1a'!I12*1.04</f>
        <v>21.84</v>
      </c>
      <c r="C13" s="3">
        <v>22</v>
      </c>
      <c r="D13" s="3">
        <v>22</v>
      </c>
      <c r="E13" s="3">
        <v>22</v>
      </c>
      <c r="F13" s="3">
        <v>22</v>
      </c>
      <c r="G13" s="3">
        <v>22</v>
      </c>
      <c r="H13" s="3">
        <f>G13*1.04</f>
        <v>22.880000000000003</v>
      </c>
      <c r="P13" s="2"/>
    </row>
    <row r="14" spans="1:16" ht="13.5" customHeight="1">
      <c r="A14" s="2" t="s">
        <v>7</v>
      </c>
      <c r="B14" s="3">
        <v>320</v>
      </c>
      <c r="C14" s="3">
        <v>320</v>
      </c>
      <c r="D14" s="3">
        <v>320</v>
      </c>
      <c r="E14" s="3">
        <v>340</v>
      </c>
      <c r="F14" s="3">
        <v>340</v>
      </c>
      <c r="G14" s="3">
        <v>360</v>
      </c>
      <c r="H14" s="3">
        <v>380</v>
      </c>
      <c r="P14" s="2"/>
    </row>
    <row r="15" spans="1:16" ht="13.5" customHeight="1">
      <c r="A15" s="2" t="s">
        <v>8</v>
      </c>
      <c r="B15" s="3">
        <f aca="true" t="shared" si="2" ref="B15:H15">B16-B14</f>
        <v>402.94095106766065</v>
      </c>
      <c r="C15" s="3">
        <f t="shared" si="2"/>
        <v>402.44124309955964</v>
      </c>
      <c r="D15" s="3">
        <f t="shared" si="2"/>
        <v>407.47656078670957</v>
      </c>
      <c r="E15" s="3">
        <f t="shared" si="2"/>
        <v>416.3791898699959</v>
      </c>
      <c r="F15" s="3">
        <f t="shared" si="2"/>
        <v>421.70182857661086</v>
      </c>
      <c r="G15" s="3">
        <f t="shared" si="2"/>
        <v>427.49126286274713</v>
      </c>
      <c r="H15" s="3">
        <f t="shared" si="2"/>
        <v>324.4507411912318</v>
      </c>
      <c r="P15" s="2"/>
    </row>
    <row r="16" spans="1:8" s="4" customFormat="1" ht="13.5" customHeight="1">
      <c r="A16" s="12" t="s">
        <v>49</v>
      </c>
      <c r="B16" s="22">
        <f>(B12/B11)*B14*0.8+(B12*0.01)</f>
        <v>722.9409510676606</v>
      </c>
      <c r="C16" s="22">
        <f>(C12/C11)*C14*0.8+(B12*0.01)</f>
        <v>722.4412430995596</v>
      </c>
      <c r="D16" s="22">
        <f>(D12/D11)*D14*0.8+(C12*0.01)</f>
        <v>727.4765607867096</v>
      </c>
      <c r="E16" s="22">
        <f>(E12/E11)*E14*0.8+(D12*0.01)</f>
        <v>756.3791898699959</v>
      </c>
      <c r="F16" s="22">
        <f>(F12/F11)*F14*0.8+(E12*0.01)</f>
        <v>761.7018285766109</v>
      </c>
      <c r="G16" s="22">
        <f>(G12/G11)*G14*0.8+(F12*0.01)</f>
        <v>787.4912628627471</v>
      </c>
      <c r="H16" s="22">
        <f>(H12/H11)*H14*0.6+(G12*0.01)</f>
        <v>704.4507411912318</v>
      </c>
    </row>
    <row r="17" spans="1:16" ht="13.5" customHeight="1">
      <c r="A17" s="11" t="s">
        <v>9</v>
      </c>
      <c r="B17" s="3">
        <f aca="true" t="shared" si="3" ref="B17:H17">B12*(B13/100)</f>
        <v>7711.585512815998</v>
      </c>
      <c r="C17" s="3">
        <f t="shared" si="3"/>
        <v>7876.993635543135</v>
      </c>
      <c r="D17" s="3">
        <f t="shared" si="3"/>
        <v>8005.046562061231</v>
      </c>
      <c r="E17" s="3">
        <f t="shared" si="3"/>
        <v>8130.319718688156</v>
      </c>
      <c r="F17" s="3">
        <f t="shared" si="3"/>
        <v>8169.43908</v>
      </c>
      <c r="G17" s="3">
        <f t="shared" si="3"/>
        <v>8334.834677713146</v>
      </c>
      <c r="H17" s="3">
        <f t="shared" si="3"/>
        <v>8705.663824000001</v>
      </c>
      <c r="P17" s="2"/>
    </row>
    <row r="18" spans="1:16" ht="13.5" customHeight="1">
      <c r="A18" s="11" t="s">
        <v>38</v>
      </c>
      <c r="B18" s="3">
        <f>B17*0.15</f>
        <v>1156.7378269223998</v>
      </c>
      <c r="C18" s="3">
        <f aca="true" t="shared" si="4" ref="C18:H18">C17*0.15</f>
        <v>1181.54904533147</v>
      </c>
      <c r="D18" s="3">
        <f t="shared" si="4"/>
        <v>1200.7569843091846</v>
      </c>
      <c r="E18" s="3">
        <f t="shared" si="4"/>
        <v>1219.5479578032234</v>
      </c>
      <c r="F18" s="3">
        <f t="shared" si="4"/>
        <v>1225.415862</v>
      </c>
      <c r="G18" s="3">
        <f t="shared" si="4"/>
        <v>1250.2252016569719</v>
      </c>
      <c r="H18" s="3">
        <f t="shared" si="4"/>
        <v>1305.8495736000002</v>
      </c>
      <c r="P18" s="2"/>
    </row>
    <row r="19" spans="2:16" ht="13.5" customHeight="1">
      <c r="B19" s="3"/>
      <c r="C19" s="3"/>
      <c r="D19" s="3"/>
      <c r="E19" s="3"/>
      <c r="F19" s="3"/>
      <c r="G19" s="3"/>
      <c r="H19" s="3"/>
      <c r="P19" s="2"/>
    </row>
    <row r="20" spans="1:16" ht="13.5" customHeight="1">
      <c r="A20" s="50" t="s">
        <v>10</v>
      </c>
      <c r="B20" s="51">
        <f>B12</f>
        <v>35309.45747626373</v>
      </c>
      <c r="C20" s="51">
        <f aca="true" t="shared" si="5" ref="C20:H20">C12</f>
        <v>35804.516525196064</v>
      </c>
      <c r="D20" s="51">
        <f t="shared" si="5"/>
        <v>36386.575282096506</v>
      </c>
      <c r="E20" s="51">
        <f t="shared" si="5"/>
        <v>36955.9987213098</v>
      </c>
      <c r="F20" s="51">
        <f t="shared" si="5"/>
        <v>37133.814</v>
      </c>
      <c r="G20" s="51">
        <f t="shared" si="5"/>
        <v>37885.61217142339</v>
      </c>
      <c r="H20" s="51">
        <f t="shared" si="5"/>
        <v>38049.23</v>
      </c>
      <c r="P20" s="2"/>
    </row>
    <row r="21" spans="1:16" ht="13.5" customHeight="1">
      <c r="A21" s="47" t="s">
        <v>51</v>
      </c>
      <c r="B21" s="46">
        <f>'Table 1a'!I20*1.01</f>
        <v>36026.15985713402</v>
      </c>
      <c r="C21" s="56">
        <f aca="true" t="shared" si="6" ref="C21:H21">B21*1.01</f>
        <v>36386.421455705364</v>
      </c>
      <c r="D21" s="46">
        <f t="shared" si="6"/>
        <v>36750.28567026242</v>
      </c>
      <c r="E21" s="46">
        <f t="shared" si="6"/>
        <v>37117.78852696504</v>
      </c>
      <c r="F21" s="46">
        <f t="shared" si="6"/>
        <v>37488.966412234695</v>
      </c>
      <c r="G21" s="46">
        <f t="shared" si="6"/>
        <v>37863.85607635704</v>
      </c>
      <c r="H21" s="46">
        <f t="shared" si="6"/>
        <v>38242.49463712061</v>
      </c>
      <c r="P21" s="2"/>
    </row>
    <row r="22" spans="1:16" ht="13.5" customHeight="1">
      <c r="A22" s="49" t="s">
        <v>54</v>
      </c>
      <c r="B22" s="48">
        <f>'Table 1a'!I21*1.02</f>
        <v>38892.2328</v>
      </c>
      <c r="C22" s="54">
        <f>B22*1.015</f>
        <v>39475.61629199999</v>
      </c>
      <c r="D22" s="54">
        <f>C22*1.015</f>
        <v>40067.75053637999</v>
      </c>
      <c r="E22" s="54">
        <f>D22*1.015</f>
        <v>40668.76679442568</v>
      </c>
      <c r="F22" s="54">
        <f>E22*1.015</f>
        <v>41278.798296342065</v>
      </c>
      <c r="G22" s="54">
        <f>F22*1.01</f>
        <v>41691.586279305484</v>
      </c>
      <c r="H22" s="54">
        <f>G22*1.005</f>
        <v>41900.044210702006</v>
      </c>
      <c r="P22" s="2"/>
    </row>
    <row r="23" spans="1:16" ht="13.5" customHeight="1">
      <c r="A23" s="11" t="s">
        <v>39</v>
      </c>
      <c r="B23" s="3">
        <f aca="true" t="shared" si="7" ref="B23:H23">B20-B21</f>
        <v>-716.7023808702943</v>
      </c>
      <c r="C23" s="3">
        <f t="shared" si="7"/>
        <v>-581.9049305092994</v>
      </c>
      <c r="D23" s="3">
        <f t="shared" si="7"/>
        <v>-363.7103881659132</v>
      </c>
      <c r="E23" s="3">
        <f t="shared" si="7"/>
        <v>-161.78980565524398</v>
      </c>
      <c r="F23" s="3">
        <f t="shared" si="7"/>
        <v>-355.1524122346964</v>
      </c>
      <c r="G23" s="3">
        <f t="shared" si="7"/>
        <v>21.75609506634646</v>
      </c>
      <c r="H23" s="3">
        <f t="shared" si="7"/>
        <v>-193.2646371206065</v>
      </c>
      <c r="P23" s="2"/>
    </row>
    <row r="24" spans="1:16" ht="13.5" customHeight="1">
      <c r="A24" s="11" t="s">
        <v>32</v>
      </c>
      <c r="B24" s="3">
        <f aca="true" t="shared" si="8" ref="B24:H24">B20-B22</f>
        <v>-3582.7753237362704</v>
      </c>
      <c r="C24" s="3">
        <f t="shared" si="8"/>
        <v>-3671.099766803927</v>
      </c>
      <c r="D24" s="3">
        <f t="shared" si="8"/>
        <v>-3681.17525428348</v>
      </c>
      <c r="E24" s="3">
        <f t="shared" si="8"/>
        <v>-3712.7680731158835</v>
      </c>
      <c r="F24" s="3">
        <f t="shared" si="8"/>
        <v>-4144.984296342067</v>
      </c>
      <c r="G24" s="3">
        <f t="shared" si="8"/>
        <v>-3805.9741078820953</v>
      </c>
      <c r="H24" s="3">
        <f t="shared" si="8"/>
        <v>-3850.814210702003</v>
      </c>
      <c r="P24" s="2"/>
    </row>
    <row r="25" spans="1:16" ht="13.5" customHeight="1">
      <c r="A25" s="11" t="s">
        <v>36</v>
      </c>
      <c r="B25" s="19">
        <v>2</v>
      </c>
      <c r="C25" s="19">
        <v>1.5</v>
      </c>
      <c r="D25" s="19">
        <v>1.5</v>
      </c>
      <c r="E25" s="19">
        <v>1.5</v>
      </c>
      <c r="F25" s="19">
        <v>1.5</v>
      </c>
      <c r="G25" s="19">
        <v>1</v>
      </c>
      <c r="H25" s="19">
        <v>0.5</v>
      </c>
      <c r="P25" s="2"/>
    </row>
    <row r="26" spans="1:15" s="26" customFormat="1" ht="13.5" customHeight="1">
      <c r="A26" s="23" t="s">
        <v>35</v>
      </c>
      <c r="B26" s="24">
        <f>B24</f>
        <v>-3582.7753237362704</v>
      </c>
      <c r="C26" s="24">
        <f aca="true" t="shared" si="9" ref="C26:H26">C24</f>
        <v>-3671.099766803927</v>
      </c>
      <c r="D26" s="24">
        <f t="shared" si="9"/>
        <v>-3681.17525428348</v>
      </c>
      <c r="E26" s="24">
        <f t="shared" si="9"/>
        <v>-3712.7680731158835</v>
      </c>
      <c r="F26" s="24">
        <f t="shared" si="9"/>
        <v>-4144.984296342067</v>
      </c>
      <c r="G26" s="24">
        <f t="shared" si="9"/>
        <v>-3805.9741078820953</v>
      </c>
      <c r="H26" s="24">
        <f t="shared" si="9"/>
        <v>-3850.814210702003</v>
      </c>
      <c r="I26" s="25"/>
      <c r="J26" s="25"/>
      <c r="K26" s="25"/>
      <c r="L26" s="25"/>
      <c r="M26" s="25"/>
      <c r="N26" s="25"/>
      <c r="O26" s="25"/>
    </row>
    <row r="27" spans="2:8" ht="13.5" customHeight="1">
      <c r="B27" s="5"/>
      <c r="C27" s="5"/>
      <c r="D27" s="5"/>
      <c r="E27" s="5"/>
      <c r="F27" s="5"/>
      <c r="G27" s="5"/>
      <c r="H27" s="5"/>
    </row>
    <row r="28" spans="2:8" ht="13.5" customHeight="1">
      <c r="B28" s="5"/>
      <c r="C28" s="5"/>
      <c r="D28" s="5"/>
      <c r="E28" s="5"/>
      <c r="F28" s="5"/>
      <c r="G28" s="5"/>
      <c r="H28" s="5"/>
    </row>
    <row r="29" spans="1:14" s="61" customFormat="1" ht="13.5" customHeight="1">
      <c r="A29" s="57"/>
      <c r="B29" s="58">
        <v>2009</v>
      </c>
      <c r="C29" s="58">
        <v>2010</v>
      </c>
      <c r="D29" s="58">
        <v>2011</v>
      </c>
      <c r="E29" s="58">
        <v>2012</v>
      </c>
      <c r="F29" s="58">
        <v>2013</v>
      </c>
      <c r="G29" s="58">
        <v>2014</v>
      </c>
      <c r="H29" s="59">
        <v>2015</v>
      </c>
      <c r="I29" s="59">
        <v>2016</v>
      </c>
      <c r="J29" s="59">
        <v>2017</v>
      </c>
      <c r="K29" s="59">
        <v>2018</v>
      </c>
      <c r="L29" s="59">
        <v>2019</v>
      </c>
      <c r="M29" s="59">
        <v>2020</v>
      </c>
      <c r="N29" s="60"/>
    </row>
    <row r="30" spans="1:16" ht="13.5" customHeight="1">
      <c r="A30" s="11" t="s">
        <v>0</v>
      </c>
      <c r="B30" s="3">
        <v>1557</v>
      </c>
      <c r="C30" s="3">
        <v>1543</v>
      </c>
      <c r="D30" s="3">
        <v>1612</v>
      </c>
      <c r="E30" s="3">
        <v>1566</v>
      </c>
      <c r="F30" s="3">
        <f aca="true" t="shared" si="10" ref="F30:M30">E30*1.01</f>
        <v>1581.66</v>
      </c>
      <c r="G30" s="3">
        <f t="shared" si="10"/>
        <v>1597.4766000000002</v>
      </c>
      <c r="H30" s="3">
        <f t="shared" si="10"/>
        <v>1613.4513660000002</v>
      </c>
      <c r="I30" s="3">
        <f t="shared" si="10"/>
        <v>1629.5858796600003</v>
      </c>
      <c r="J30" s="3">
        <f t="shared" si="10"/>
        <v>1645.8817384566003</v>
      </c>
      <c r="K30" s="3">
        <f t="shared" si="10"/>
        <v>1662.3405558411662</v>
      </c>
      <c r="L30" s="3">
        <f t="shared" si="10"/>
        <v>1678.9639613995778</v>
      </c>
      <c r="M30" s="3">
        <f t="shared" si="10"/>
        <v>1695.7536010135736</v>
      </c>
      <c r="O30" s="2"/>
      <c r="P30" s="2"/>
    </row>
    <row r="31" spans="1:16" ht="13.5" customHeight="1">
      <c r="A31" s="11" t="s">
        <v>1</v>
      </c>
      <c r="B31" s="3">
        <v>100</v>
      </c>
      <c r="C31" s="3">
        <v>100</v>
      </c>
      <c r="D31" s="3">
        <v>100</v>
      </c>
      <c r="E31" s="3">
        <v>100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O31" s="2"/>
      <c r="P31" s="2"/>
    </row>
    <row r="32" spans="1:16" ht="13.5" customHeight="1">
      <c r="A32" s="11" t="s">
        <v>22</v>
      </c>
      <c r="B32" s="3">
        <f>B31*0.85</f>
        <v>85</v>
      </c>
      <c r="C32" s="3">
        <f aca="true" t="shared" si="11" ref="C32:H32">C31*0.85</f>
        <v>85</v>
      </c>
      <c r="D32" s="3">
        <f t="shared" si="11"/>
        <v>85</v>
      </c>
      <c r="E32" s="3">
        <f t="shared" si="11"/>
        <v>85</v>
      </c>
      <c r="F32" s="3">
        <f t="shared" si="11"/>
        <v>85</v>
      </c>
      <c r="G32" s="3">
        <f t="shared" si="11"/>
        <v>85</v>
      </c>
      <c r="H32" s="3">
        <f t="shared" si="11"/>
        <v>85</v>
      </c>
      <c r="I32" s="3">
        <f>I31*0.85</f>
        <v>85</v>
      </c>
      <c r="J32" s="3">
        <f>J31*0.85</f>
        <v>85</v>
      </c>
      <c r="K32" s="3">
        <f>K31*0.85</f>
        <v>85</v>
      </c>
      <c r="L32" s="3">
        <f>L31*0.85</f>
        <v>85</v>
      </c>
      <c r="M32" s="3">
        <f>M31*0.85</f>
        <v>85</v>
      </c>
      <c r="O32" s="2"/>
      <c r="P32" s="2"/>
    </row>
    <row r="33" spans="1:16" ht="13.5" customHeight="1">
      <c r="A33" s="11" t="s">
        <v>41</v>
      </c>
      <c r="B33" s="3">
        <f>(B31-B32)*0.5</f>
        <v>7.5</v>
      </c>
      <c r="C33" s="3">
        <f aca="true" t="shared" si="12" ref="C33:H33">(C31-C32)*0.5</f>
        <v>7.5</v>
      </c>
      <c r="D33" s="3">
        <f t="shared" si="12"/>
        <v>7.5</v>
      </c>
      <c r="E33" s="3">
        <f t="shared" si="12"/>
        <v>7.5</v>
      </c>
      <c r="F33" s="3">
        <f t="shared" si="12"/>
        <v>7.5</v>
      </c>
      <c r="G33" s="3">
        <f t="shared" si="12"/>
        <v>7.5</v>
      </c>
      <c r="H33" s="3">
        <f t="shared" si="12"/>
        <v>7.5</v>
      </c>
      <c r="I33" s="3">
        <f>(I31-I32)*0.5</f>
        <v>7.5</v>
      </c>
      <c r="J33" s="3">
        <f>(J31-J32)*0.5</f>
        <v>7.5</v>
      </c>
      <c r="K33" s="3">
        <f>(K31-K32)*0.5</f>
        <v>7.5</v>
      </c>
      <c r="L33" s="3">
        <f>(L31-L32)*0.5</f>
        <v>7.5</v>
      </c>
      <c r="M33" s="3">
        <f>(M31-M32)*0.5</f>
        <v>7.5</v>
      </c>
      <c r="O33" s="2"/>
      <c r="P33" s="2"/>
    </row>
    <row r="34" spans="1:16" ht="13.5" customHeight="1">
      <c r="A34" s="11" t="s">
        <v>23</v>
      </c>
      <c r="B34" s="3">
        <v>19</v>
      </c>
      <c r="C34" s="3">
        <v>30</v>
      </c>
      <c r="D34" s="3">
        <v>30</v>
      </c>
      <c r="E34" s="3">
        <v>40</v>
      </c>
      <c r="F34" s="3">
        <v>50</v>
      </c>
      <c r="G34" s="3">
        <v>60</v>
      </c>
      <c r="H34" s="3">
        <v>60</v>
      </c>
      <c r="I34" s="3">
        <v>60</v>
      </c>
      <c r="J34" s="3">
        <v>60</v>
      </c>
      <c r="K34" s="3">
        <v>60</v>
      </c>
      <c r="L34" s="3">
        <v>60</v>
      </c>
      <c r="M34" s="3">
        <v>60</v>
      </c>
      <c r="O34" s="2"/>
      <c r="P34" s="2"/>
    </row>
    <row r="35" spans="1:16" ht="13.5" customHeight="1">
      <c r="A35" s="11" t="s">
        <v>34</v>
      </c>
      <c r="B35" s="3">
        <v>535</v>
      </c>
      <c r="C35" s="3">
        <f aca="true" t="shared" si="13" ref="C35:H35">B35*1.03</f>
        <v>551.0500000000001</v>
      </c>
      <c r="D35" s="3">
        <f t="shared" si="13"/>
        <v>567.5815000000001</v>
      </c>
      <c r="E35" s="3">
        <f t="shared" si="13"/>
        <v>584.6089450000002</v>
      </c>
      <c r="F35" s="3">
        <f t="shared" si="13"/>
        <v>602.1472133500002</v>
      </c>
      <c r="G35" s="3">
        <f t="shared" si="13"/>
        <v>620.2116297505003</v>
      </c>
      <c r="H35" s="3">
        <f t="shared" si="13"/>
        <v>638.8179786430153</v>
      </c>
      <c r="I35" s="3">
        <f>H35*1.03</f>
        <v>657.9825180023058</v>
      </c>
      <c r="J35" s="3">
        <f>I35*1.03</f>
        <v>677.721993542375</v>
      </c>
      <c r="K35" s="3">
        <f>J35*1.03</f>
        <v>698.0536533486463</v>
      </c>
      <c r="L35" s="3">
        <f>K35*1.03</f>
        <v>718.9952629491057</v>
      </c>
      <c r="M35" s="3">
        <f>L35*1.03</f>
        <v>740.5651208375789</v>
      </c>
      <c r="O35" s="2"/>
      <c r="P35" s="2"/>
    </row>
    <row r="36" spans="1:16" ht="13.5" customHeight="1">
      <c r="A36" s="11" t="s">
        <v>3</v>
      </c>
      <c r="B36" s="3">
        <f>B30-B33-B35+525</f>
        <v>1539.5</v>
      </c>
      <c r="C36" s="3">
        <f>C30-C33-C35+B35</f>
        <v>1519.4499999999998</v>
      </c>
      <c r="D36" s="3">
        <f aca="true" t="shared" si="14" ref="D36:M36">D30-D33-D35+525</f>
        <v>1561.9184999999998</v>
      </c>
      <c r="E36" s="3">
        <f t="shared" si="14"/>
        <v>1498.8910549999998</v>
      </c>
      <c r="F36" s="3">
        <f t="shared" si="14"/>
        <v>1497.0127866499997</v>
      </c>
      <c r="G36" s="3">
        <f t="shared" si="14"/>
        <v>1494.7649702495</v>
      </c>
      <c r="H36" s="3">
        <f t="shared" si="14"/>
        <v>1492.133387356985</v>
      </c>
      <c r="I36" s="3">
        <f t="shared" si="14"/>
        <v>1489.1033616576944</v>
      </c>
      <c r="J36" s="3">
        <f t="shared" si="14"/>
        <v>1485.6597449142253</v>
      </c>
      <c r="K36" s="3">
        <f t="shared" si="14"/>
        <v>1481.7869024925199</v>
      </c>
      <c r="L36" s="3">
        <f t="shared" si="14"/>
        <v>1477.468698450472</v>
      </c>
      <c r="M36" s="3">
        <f t="shared" si="14"/>
        <v>1472.6884801759948</v>
      </c>
      <c r="O36" s="2"/>
      <c r="P36" s="2"/>
    </row>
    <row r="37" spans="2:16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2"/>
      <c r="P37" s="2"/>
    </row>
    <row r="38" spans="1:16" ht="13.5" customHeight="1">
      <c r="A38" s="11" t="s">
        <v>47</v>
      </c>
      <c r="B38" s="3">
        <v>5553</v>
      </c>
      <c r="C38" s="3"/>
      <c r="D38" s="3"/>
      <c r="E38" s="3"/>
      <c r="F38" s="3"/>
      <c r="G38" s="3"/>
      <c r="H38" s="3"/>
      <c r="I38" s="3"/>
      <c r="J38" s="3"/>
      <c r="K38" s="3"/>
      <c r="L38" s="3"/>
      <c r="O38" s="2"/>
      <c r="P38" s="2"/>
    </row>
    <row r="39" spans="1:16" ht="13.5" customHeight="1">
      <c r="A39" s="11" t="s">
        <v>4</v>
      </c>
      <c r="B39" s="3">
        <f>H11+(0.4*B36)</f>
        <v>27260.05</v>
      </c>
      <c r="C39" s="3">
        <f aca="true" t="shared" si="15" ref="C39:H39">B39+(0.4*C36)</f>
        <v>27867.829999999998</v>
      </c>
      <c r="D39" s="3">
        <f t="shared" si="15"/>
        <v>28492.5974</v>
      </c>
      <c r="E39" s="3">
        <f t="shared" si="15"/>
        <v>29092.153822</v>
      </c>
      <c r="F39" s="3">
        <f t="shared" si="15"/>
        <v>29690.95893666</v>
      </c>
      <c r="G39" s="3">
        <f t="shared" si="15"/>
        <v>30288.8649247598</v>
      </c>
      <c r="H39" s="3">
        <f t="shared" si="15"/>
        <v>30885.718279702596</v>
      </c>
      <c r="I39" s="3">
        <f>H39+(0.4*I36)</f>
        <v>31481.359624365676</v>
      </c>
      <c r="J39" s="3">
        <f>I39+(0.4*J36)</f>
        <v>32075.623522331367</v>
      </c>
      <c r="K39" s="3">
        <f>J39+(0.4*K36)</f>
        <v>32668.338283328376</v>
      </c>
      <c r="L39" s="3">
        <f>K39+(0.4*L36)</f>
        <v>33259.32576270856</v>
      </c>
      <c r="M39" s="3">
        <f>L39+(0.4*M36)</f>
        <v>33848.40115477896</v>
      </c>
      <c r="O39" s="2"/>
      <c r="P39" s="2"/>
    </row>
    <row r="40" spans="1:16" ht="13.5" customHeight="1">
      <c r="A40" s="11" t="s">
        <v>24</v>
      </c>
      <c r="B40" s="3">
        <f>H12+B36-H16-32</f>
        <v>38852.27925880877</v>
      </c>
      <c r="C40" s="3">
        <f>B40+C36-B44-76</f>
        <v>39591.27851761753</v>
      </c>
      <c r="D40" s="3">
        <f>C40+D36-C44-26</f>
        <v>40468.74495826029</v>
      </c>
      <c r="E40" s="3">
        <f>D40+E36-D44-74</f>
        <v>41227.86150104938</v>
      </c>
      <c r="F40" s="3">
        <f>E40+F36-E44-78</f>
        <v>41958.757417570596</v>
      </c>
      <c r="G40" s="3">
        <f>F40+G36-F44-81</f>
        <v>42663.47534992076</v>
      </c>
      <c r="H40" s="3">
        <f>G40+H36-G44-82</f>
        <v>43337.09670992171</v>
      </c>
      <c r="I40" s="3">
        <f>H40+I36-H44-79</f>
        <v>43969.77942800101</v>
      </c>
      <c r="J40" s="3">
        <f>I40+J36-I44-82</f>
        <v>44555.9777635042</v>
      </c>
      <c r="K40" s="3">
        <f>J40+K36-J44-85</f>
        <v>45096.33940514867</v>
      </c>
      <c r="L40" s="3">
        <f>K40+L36-K44-89</f>
        <v>45590.60872331394</v>
      </c>
      <c r="M40" s="3">
        <f>L40+L36-L44-89</f>
        <v>46048.347445341285</v>
      </c>
      <c r="O40" s="2"/>
      <c r="P40" s="2"/>
    </row>
    <row r="41" spans="1:16" ht="13.5" customHeight="1">
      <c r="A41" s="11" t="s">
        <v>6</v>
      </c>
      <c r="B41" s="3">
        <v>23</v>
      </c>
      <c r="C41" s="3">
        <f aca="true" t="shared" si="16" ref="C41:H41">B41*1.04</f>
        <v>23.92</v>
      </c>
      <c r="D41" s="3">
        <v>25</v>
      </c>
      <c r="E41" s="3">
        <f t="shared" si="16"/>
        <v>26</v>
      </c>
      <c r="F41" s="3">
        <f t="shared" si="16"/>
        <v>27.04</v>
      </c>
      <c r="G41" s="3">
        <f t="shared" si="16"/>
        <v>28.1216</v>
      </c>
      <c r="H41" s="3">
        <f t="shared" si="16"/>
        <v>29.246464000000003</v>
      </c>
      <c r="I41" s="3">
        <f>H41*1.04</f>
        <v>30.416322560000005</v>
      </c>
      <c r="J41" s="3">
        <f>I41*1.04</f>
        <v>31.632975462400005</v>
      </c>
      <c r="K41" s="3">
        <f>J41*1.04</f>
        <v>32.898294480896006</v>
      </c>
      <c r="L41" s="3">
        <f>K41*1.04</f>
        <v>34.214226260131845</v>
      </c>
      <c r="M41" s="3">
        <f>L41*1.04</f>
        <v>35.58279531053712</v>
      </c>
      <c r="O41" s="2"/>
      <c r="P41" s="2"/>
    </row>
    <row r="42" spans="1:16" ht="13.5" customHeight="1">
      <c r="A42" s="11" t="s">
        <v>7</v>
      </c>
      <c r="B42" s="3">
        <v>380</v>
      </c>
      <c r="C42" s="3">
        <v>380</v>
      </c>
      <c r="D42" s="3">
        <v>380</v>
      </c>
      <c r="E42" s="3">
        <v>400</v>
      </c>
      <c r="F42" s="3">
        <v>420</v>
      </c>
      <c r="G42" s="3">
        <v>450</v>
      </c>
      <c r="H42" s="3">
        <v>500</v>
      </c>
      <c r="I42" s="3">
        <v>550</v>
      </c>
      <c r="J42" s="3">
        <v>600</v>
      </c>
      <c r="K42" s="3">
        <v>650</v>
      </c>
      <c r="L42" s="3">
        <v>700</v>
      </c>
      <c r="M42" s="3">
        <v>750</v>
      </c>
      <c r="O42" s="2"/>
      <c r="P42" s="2"/>
    </row>
    <row r="43" spans="1:16" ht="13.5" customHeight="1">
      <c r="A43" s="11" t="s">
        <v>8</v>
      </c>
      <c r="B43" s="3">
        <f aca="true" t="shared" si="17" ref="B43:M43">B44-B42</f>
        <v>324.4507411912318</v>
      </c>
      <c r="C43" s="3">
        <f t="shared" si="17"/>
        <v>278.4520593572381</v>
      </c>
      <c r="D43" s="3">
        <f t="shared" si="17"/>
        <v>285.77451221091223</v>
      </c>
      <c r="E43" s="3">
        <f t="shared" si="17"/>
        <v>288.11687012878565</v>
      </c>
      <c r="F43" s="3">
        <f t="shared" si="17"/>
        <v>289.0470378993314</v>
      </c>
      <c r="G43" s="3">
        <f t="shared" si="17"/>
        <v>286.5120273560292</v>
      </c>
      <c r="H43" s="3">
        <f t="shared" si="17"/>
        <v>277.4206435783925</v>
      </c>
      <c r="I43" s="3">
        <f t="shared" si="17"/>
        <v>267.4614094110432</v>
      </c>
      <c r="J43" s="3">
        <f t="shared" si="17"/>
        <v>256.42526084804626</v>
      </c>
      <c r="K43" s="3">
        <f t="shared" si="17"/>
        <v>244.1993802851979</v>
      </c>
      <c r="L43" s="3">
        <f t="shared" si="17"/>
        <v>230.72997642313135</v>
      </c>
      <c r="M43" s="3">
        <f t="shared" si="17"/>
        <v>216.06697232312672</v>
      </c>
      <c r="O43" s="2"/>
      <c r="P43" s="2"/>
    </row>
    <row r="44" spans="1:16" ht="13.5" customHeight="1">
      <c r="A44" s="12" t="s">
        <v>49</v>
      </c>
      <c r="B44" s="3">
        <f>(H12/H11)*H14*0.6+(G12*0.01)</f>
        <v>704.4507411912318</v>
      </c>
      <c r="C44" s="3">
        <f aca="true" t="shared" si="18" ref="C44:M44">(C40/C39)*C42*0.5+(B40*0.01)</f>
        <v>658.4520593572381</v>
      </c>
      <c r="D44" s="3">
        <f t="shared" si="18"/>
        <v>665.7745122109122</v>
      </c>
      <c r="E44" s="3">
        <f t="shared" si="18"/>
        <v>688.1168701287856</v>
      </c>
      <c r="F44" s="3">
        <f t="shared" si="18"/>
        <v>709.0470378993314</v>
      </c>
      <c r="G44" s="3">
        <f t="shared" si="18"/>
        <v>736.5120273560292</v>
      </c>
      <c r="H44" s="3">
        <f t="shared" si="18"/>
        <v>777.4206435783925</v>
      </c>
      <c r="I44" s="3">
        <f t="shared" si="18"/>
        <v>817.4614094110432</v>
      </c>
      <c r="J44" s="3">
        <f t="shared" si="18"/>
        <v>856.4252608480463</v>
      </c>
      <c r="K44" s="3">
        <f t="shared" si="18"/>
        <v>894.1993802851979</v>
      </c>
      <c r="L44" s="3">
        <f t="shared" si="18"/>
        <v>930.7299764231313</v>
      </c>
      <c r="M44" s="3">
        <f t="shared" si="18"/>
        <v>966.0669723231267</v>
      </c>
      <c r="O44" s="2"/>
      <c r="P44" s="2"/>
    </row>
    <row r="45" spans="1:16" ht="13.5" customHeight="1">
      <c r="A45" s="11" t="s">
        <v>9</v>
      </c>
      <c r="B45" s="3">
        <f aca="true" t="shared" si="19" ref="B45:H45">B40*(B41/100)</f>
        <v>8936.024229526018</v>
      </c>
      <c r="C45" s="3">
        <f t="shared" si="19"/>
        <v>9470.233821414115</v>
      </c>
      <c r="D45" s="3">
        <f t="shared" si="19"/>
        <v>10117.186239565073</v>
      </c>
      <c r="E45" s="3">
        <f t="shared" si="19"/>
        <v>10719.24399027284</v>
      </c>
      <c r="F45" s="3">
        <f t="shared" si="19"/>
        <v>11345.648005711088</v>
      </c>
      <c r="G45" s="3">
        <f t="shared" si="19"/>
        <v>11997.651884003317</v>
      </c>
      <c r="H45" s="3">
        <f t="shared" si="19"/>
        <v>12674.568387912439</v>
      </c>
      <c r="I45" s="3">
        <f>I40*(I41/100)</f>
        <v>13373.989939741312</v>
      </c>
      <c r="J45" s="3">
        <f>J40*(J41/100)</f>
        <v>14094.381512961685</v>
      </c>
      <c r="K45" s="3">
        <f>K40*(K41/100)</f>
        <v>14835.926537610156</v>
      </c>
      <c r="L45" s="3">
        <f>L40*(L41/100)</f>
        <v>15598.474021966038</v>
      </c>
      <c r="M45" s="3">
        <f>M40*(M41/100)</f>
        <v>16385.28921536074</v>
      </c>
      <c r="O45" s="2"/>
      <c r="P45" s="2"/>
    </row>
    <row r="46" spans="1:16" ht="13.5" customHeight="1">
      <c r="A46" s="11" t="s">
        <v>43</v>
      </c>
      <c r="B46" s="3">
        <f aca="true" t="shared" si="20" ref="B46:M46">B45*0.15</f>
        <v>1340.4036344289027</v>
      </c>
      <c r="C46" s="3">
        <f t="shared" si="20"/>
        <v>1420.5350732121171</v>
      </c>
      <c r="D46" s="3">
        <f t="shared" si="20"/>
        <v>1517.577935934761</v>
      </c>
      <c r="E46" s="3">
        <f t="shared" si="20"/>
        <v>1607.886598540926</v>
      </c>
      <c r="F46" s="3">
        <f t="shared" si="20"/>
        <v>1701.847200856663</v>
      </c>
      <c r="G46" s="3">
        <f t="shared" si="20"/>
        <v>1799.6477826004975</v>
      </c>
      <c r="H46" s="3">
        <f t="shared" si="20"/>
        <v>1901.1852581868657</v>
      </c>
      <c r="I46" s="3">
        <f t="shared" si="20"/>
        <v>2006.0984909611966</v>
      </c>
      <c r="J46" s="3">
        <f t="shared" si="20"/>
        <v>2114.1572269442527</v>
      </c>
      <c r="K46" s="3">
        <f t="shared" si="20"/>
        <v>2225.388980641523</v>
      </c>
      <c r="L46" s="3">
        <f t="shared" si="20"/>
        <v>2339.7711032949055</v>
      </c>
      <c r="M46" s="3">
        <f t="shared" si="20"/>
        <v>2457.7933823041108</v>
      </c>
      <c r="O46" s="2"/>
      <c r="P46" s="2"/>
    </row>
    <row r="47" spans="2:16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2"/>
      <c r="P47" s="2"/>
    </row>
    <row r="48" spans="1:14" s="26" customFormat="1" ht="13.5" customHeight="1">
      <c r="A48" s="50" t="s">
        <v>10</v>
      </c>
      <c r="B48" s="51">
        <f>B40</f>
        <v>38852.27925880877</v>
      </c>
      <c r="C48" s="51">
        <f aca="true" t="shared" si="21" ref="C48:L48">C40</f>
        <v>39591.27851761753</v>
      </c>
      <c r="D48" s="51">
        <f t="shared" si="21"/>
        <v>40468.74495826029</v>
      </c>
      <c r="E48" s="51">
        <f t="shared" si="21"/>
        <v>41227.86150104938</v>
      </c>
      <c r="F48" s="51">
        <f t="shared" si="21"/>
        <v>41958.757417570596</v>
      </c>
      <c r="G48" s="51">
        <f t="shared" si="21"/>
        <v>42663.47534992076</v>
      </c>
      <c r="H48" s="51">
        <f t="shared" si="21"/>
        <v>43337.09670992171</v>
      </c>
      <c r="I48" s="51">
        <f t="shared" si="21"/>
        <v>43969.77942800101</v>
      </c>
      <c r="J48" s="51">
        <f t="shared" si="21"/>
        <v>44555.9777635042</v>
      </c>
      <c r="K48" s="51">
        <f t="shared" si="21"/>
        <v>45096.33940514867</v>
      </c>
      <c r="L48" s="51">
        <f t="shared" si="21"/>
        <v>45590.60872331394</v>
      </c>
      <c r="M48" s="51">
        <f>M40</f>
        <v>46048.347445341285</v>
      </c>
      <c r="N48" s="25"/>
    </row>
    <row r="49" spans="1:16" ht="13.5" customHeight="1">
      <c r="A49" s="47" t="s">
        <v>57</v>
      </c>
      <c r="B49" s="46">
        <f>H21*1.01</f>
        <v>38624.919583491814</v>
      </c>
      <c r="C49" s="46">
        <f aca="true" t="shared" si="22" ref="C49:M49">B49*1.01</f>
        <v>39011.168779326734</v>
      </c>
      <c r="D49" s="46">
        <f t="shared" si="22"/>
        <v>39401.28046712</v>
      </c>
      <c r="E49" s="46">
        <f t="shared" si="22"/>
        <v>39795.2932717912</v>
      </c>
      <c r="F49" s="46">
        <f t="shared" si="22"/>
        <v>40193.24620450911</v>
      </c>
      <c r="G49" s="46">
        <f t="shared" si="22"/>
        <v>40595.1786665542</v>
      </c>
      <c r="H49" s="46">
        <f t="shared" si="22"/>
        <v>41001.13045321975</v>
      </c>
      <c r="I49" s="46">
        <f t="shared" si="22"/>
        <v>41411.141757751946</v>
      </c>
      <c r="J49" s="46">
        <f t="shared" si="22"/>
        <v>41825.25317532947</v>
      </c>
      <c r="K49" s="46">
        <f t="shared" si="22"/>
        <v>42243.50570708276</v>
      </c>
      <c r="L49" s="46">
        <f t="shared" si="22"/>
        <v>42665.94076415359</v>
      </c>
      <c r="M49" s="46">
        <f t="shared" si="22"/>
        <v>43092.60017179512</v>
      </c>
      <c r="O49" s="2"/>
      <c r="P49" s="2"/>
    </row>
    <row r="50" spans="1:16" ht="13.5" customHeight="1">
      <c r="A50" s="49" t="s">
        <v>60</v>
      </c>
      <c r="B50" s="48">
        <f>H22*1</f>
        <v>41900.044210702006</v>
      </c>
      <c r="C50" s="48">
        <f>B50*1</f>
        <v>41900.044210702006</v>
      </c>
      <c r="D50" s="48">
        <f>C50*1</f>
        <v>41900.044210702006</v>
      </c>
      <c r="E50" s="48">
        <f>D50*1.01</f>
        <v>42319.044652809025</v>
      </c>
      <c r="F50" s="48">
        <f>E50*1.015</f>
        <v>42953.830322601156</v>
      </c>
      <c r="G50" s="48">
        <f aca="true" t="shared" si="23" ref="G50:M50">F50*1.022</f>
        <v>43898.814589698384</v>
      </c>
      <c r="H50" s="48">
        <f t="shared" si="23"/>
        <v>44864.58851067175</v>
      </c>
      <c r="I50" s="48">
        <f t="shared" si="23"/>
        <v>45851.609457906525</v>
      </c>
      <c r="J50" s="48">
        <f t="shared" si="23"/>
        <v>46860.34486598047</v>
      </c>
      <c r="K50" s="48">
        <f t="shared" si="23"/>
        <v>47891.27245303204</v>
      </c>
      <c r="L50" s="48">
        <f t="shared" si="23"/>
        <v>48944.880446998744</v>
      </c>
      <c r="M50" s="48">
        <f t="shared" si="23"/>
        <v>50021.66781683272</v>
      </c>
      <c r="O50" s="2"/>
      <c r="P50" s="2"/>
    </row>
    <row r="51" spans="1:16" ht="13.5" customHeight="1">
      <c r="A51" s="63" t="s">
        <v>55</v>
      </c>
      <c r="B51" s="55">
        <f>H22*1</f>
        <v>41900.044210702006</v>
      </c>
      <c r="C51" s="55">
        <f>B51*1</f>
        <v>41900.044210702006</v>
      </c>
      <c r="D51" s="64">
        <f>C51*1</f>
        <v>41900.044210702006</v>
      </c>
      <c r="E51" s="64">
        <f>D51*1.01</f>
        <v>42319.044652809025</v>
      </c>
      <c r="F51" s="64">
        <f aca="true" t="shared" si="24" ref="F51:L51">E51*1.013</f>
        <v>42869.19223329554</v>
      </c>
      <c r="G51" s="64">
        <f t="shared" si="24"/>
        <v>43426.49173232837</v>
      </c>
      <c r="H51" s="64">
        <f t="shared" si="24"/>
        <v>43991.03612484864</v>
      </c>
      <c r="I51" s="64">
        <f t="shared" si="24"/>
        <v>44562.91959447166</v>
      </c>
      <c r="J51" s="64">
        <f t="shared" si="24"/>
        <v>45142.23754919979</v>
      </c>
      <c r="K51" s="64">
        <f t="shared" si="24"/>
        <v>45729.08663733938</v>
      </c>
      <c r="L51" s="64">
        <f t="shared" si="24"/>
        <v>46323.56476362479</v>
      </c>
      <c r="M51" s="64">
        <f>L51*1.015</f>
        <v>47018.41823507915</v>
      </c>
      <c r="O51" s="2"/>
      <c r="P51" s="2"/>
    </row>
    <row r="52" spans="2:16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2"/>
      <c r="P52" s="2"/>
    </row>
    <row r="53" spans="1:14" s="36" customFormat="1" ht="13.5" customHeight="1">
      <c r="A53" s="33" t="s">
        <v>56</v>
      </c>
      <c r="B53" s="34">
        <f aca="true" t="shared" si="25" ref="B53:M53">B48-B49</f>
        <v>227.35967531695496</v>
      </c>
      <c r="C53" s="34">
        <f t="shared" si="25"/>
        <v>580.1097382907974</v>
      </c>
      <c r="D53" s="34">
        <f t="shared" si="25"/>
        <v>1067.4644911402938</v>
      </c>
      <c r="E53" s="34">
        <f t="shared" si="25"/>
        <v>1432.5682292581841</v>
      </c>
      <c r="F53" s="34">
        <f t="shared" si="25"/>
        <v>1765.511213061487</v>
      </c>
      <c r="G53" s="34">
        <f t="shared" si="25"/>
        <v>2068.296683366556</v>
      </c>
      <c r="H53" s="34">
        <f t="shared" si="25"/>
        <v>2335.9662567019623</v>
      </c>
      <c r="I53" s="34">
        <f t="shared" si="25"/>
        <v>2558.637670249067</v>
      </c>
      <c r="J53" s="34">
        <f t="shared" si="25"/>
        <v>2730.7245881747294</v>
      </c>
      <c r="K53" s="34">
        <f t="shared" si="25"/>
        <v>2852.833698065908</v>
      </c>
      <c r="L53" s="34">
        <f t="shared" si="25"/>
        <v>2924.6679591603533</v>
      </c>
      <c r="M53" s="34">
        <f t="shared" si="25"/>
        <v>2955.7472735461633</v>
      </c>
      <c r="N53" s="35"/>
    </row>
    <row r="54" spans="1:16" ht="13.5" customHeight="1">
      <c r="A54" s="11" t="s">
        <v>36</v>
      </c>
      <c r="B54" s="19">
        <v>1</v>
      </c>
      <c r="C54" s="19">
        <v>1</v>
      </c>
      <c r="D54" s="19">
        <v>1</v>
      </c>
      <c r="E54" s="19">
        <v>1</v>
      </c>
      <c r="F54" s="19">
        <v>1</v>
      </c>
      <c r="G54" s="19">
        <v>1</v>
      </c>
      <c r="H54" s="19">
        <v>1</v>
      </c>
      <c r="I54" s="19">
        <v>1</v>
      </c>
      <c r="J54" s="19">
        <v>1</v>
      </c>
      <c r="K54" s="19">
        <v>1</v>
      </c>
      <c r="L54" s="19">
        <v>1</v>
      </c>
      <c r="M54" s="19">
        <v>1</v>
      </c>
      <c r="P54" s="2"/>
    </row>
    <row r="55" spans="1:14" s="32" customFormat="1" ht="13.5" customHeight="1">
      <c r="A55" s="30" t="s">
        <v>61</v>
      </c>
      <c r="B55" s="20">
        <f aca="true" t="shared" si="26" ref="B55:M55">B48-B50</f>
        <v>-3047.7649518932376</v>
      </c>
      <c r="C55" s="20">
        <f t="shared" si="26"/>
        <v>-2308.765693084475</v>
      </c>
      <c r="D55" s="20">
        <f t="shared" si="26"/>
        <v>-1431.2992524417132</v>
      </c>
      <c r="E55" s="20">
        <f t="shared" si="26"/>
        <v>-1091.1831517596438</v>
      </c>
      <c r="F55" s="20">
        <f t="shared" si="26"/>
        <v>-995.0729050305599</v>
      </c>
      <c r="G55" s="20">
        <f t="shared" si="26"/>
        <v>-1235.339239777626</v>
      </c>
      <c r="H55" s="20">
        <f t="shared" si="26"/>
        <v>-1527.4918007500382</v>
      </c>
      <c r="I55" s="20">
        <f t="shared" si="26"/>
        <v>-1881.8300299055118</v>
      </c>
      <c r="J55" s="20">
        <f t="shared" si="26"/>
        <v>-2304.3671024762734</v>
      </c>
      <c r="K55" s="20">
        <f t="shared" si="26"/>
        <v>-2794.9330478833726</v>
      </c>
      <c r="L55" s="20">
        <f t="shared" si="26"/>
        <v>-3354.271723684804</v>
      </c>
      <c r="M55" s="20">
        <f t="shared" si="26"/>
        <v>-3973.3203714914343</v>
      </c>
      <c r="N55" s="31"/>
    </row>
    <row r="56" spans="1:16" ht="13.5" customHeight="1">
      <c r="A56" s="11" t="s">
        <v>36</v>
      </c>
      <c r="B56" s="19">
        <v>0</v>
      </c>
      <c r="C56" s="19">
        <v>0</v>
      </c>
      <c r="D56" s="19">
        <v>0</v>
      </c>
      <c r="E56" s="19">
        <v>1</v>
      </c>
      <c r="F56" s="19">
        <v>1.5</v>
      </c>
      <c r="G56" s="19">
        <v>2.2</v>
      </c>
      <c r="H56" s="19">
        <v>2.2</v>
      </c>
      <c r="I56" s="19">
        <v>2.2</v>
      </c>
      <c r="J56" s="19">
        <v>2.2</v>
      </c>
      <c r="K56" s="19">
        <v>2.2</v>
      </c>
      <c r="L56" s="19">
        <v>2.2</v>
      </c>
      <c r="M56" s="19">
        <v>2.2</v>
      </c>
      <c r="P56" s="2"/>
    </row>
    <row r="57" spans="1:15" s="40" customFormat="1" ht="13.5" customHeight="1">
      <c r="A57" s="37" t="s">
        <v>64</v>
      </c>
      <c r="B57" s="38">
        <f>B55</f>
        <v>-3047.7649518932376</v>
      </c>
      <c r="C57" s="38">
        <f>C55</f>
        <v>-2308.765693084475</v>
      </c>
      <c r="D57" s="38">
        <f>D55</f>
        <v>-1431.2992524417132</v>
      </c>
      <c r="E57" s="38">
        <f>E55</f>
        <v>-1091.1831517596438</v>
      </c>
      <c r="F57" s="38">
        <f>F55</f>
        <v>-995.0729050305599</v>
      </c>
      <c r="G57" s="38">
        <f aca="true" t="shared" si="27" ref="G57:M57">G48-G51</f>
        <v>-763.0163824076153</v>
      </c>
      <c r="H57" s="38">
        <f t="shared" si="27"/>
        <v>-653.9394149269283</v>
      </c>
      <c r="I57" s="38">
        <f t="shared" si="27"/>
        <v>-593.14016647065</v>
      </c>
      <c r="J57" s="38">
        <f t="shared" si="27"/>
        <v>-586.2597856955908</v>
      </c>
      <c r="K57" s="38">
        <f t="shared" si="27"/>
        <v>-632.7472321907117</v>
      </c>
      <c r="L57" s="38">
        <f t="shared" si="27"/>
        <v>-732.956040310848</v>
      </c>
      <c r="M57" s="38">
        <f t="shared" si="27"/>
        <v>-970.070789737867</v>
      </c>
      <c r="N57" s="39"/>
      <c r="O57" s="39"/>
    </row>
    <row r="58" spans="1:16" ht="13.5" customHeight="1">
      <c r="A58" s="11" t="s">
        <v>36</v>
      </c>
      <c r="B58" s="19">
        <v>0</v>
      </c>
      <c r="C58" s="19">
        <v>0</v>
      </c>
      <c r="D58" s="19">
        <v>0</v>
      </c>
      <c r="E58" s="19">
        <v>1</v>
      </c>
      <c r="F58" s="19">
        <v>1.3</v>
      </c>
      <c r="G58" s="19">
        <v>1.3</v>
      </c>
      <c r="H58" s="19">
        <v>1.3</v>
      </c>
      <c r="I58" s="19">
        <v>1.3</v>
      </c>
      <c r="J58" s="19">
        <v>1.3</v>
      </c>
      <c r="K58" s="19">
        <v>1.3</v>
      </c>
      <c r="L58" s="19">
        <v>1.3</v>
      </c>
      <c r="M58" s="19">
        <v>1.3</v>
      </c>
      <c r="P58" s="2"/>
    </row>
    <row r="59" spans="2:16" ht="13.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P59" s="2"/>
    </row>
    <row r="60" spans="2:16" ht="13.5" customHeight="1">
      <c r="B60" s="1">
        <v>2009</v>
      </c>
      <c r="C60" s="1">
        <v>2010</v>
      </c>
      <c r="D60" s="1">
        <v>2011</v>
      </c>
      <c r="E60" s="1">
        <v>2012</v>
      </c>
      <c r="F60" s="1">
        <v>2013</v>
      </c>
      <c r="G60" s="1">
        <v>2014</v>
      </c>
      <c r="H60" s="8">
        <v>2015</v>
      </c>
      <c r="I60" s="8">
        <v>2016</v>
      </c>
      <c r="J60" s="8">
        <v>2017</v>
      </c>
      <c r="K60" s="8">
        <v>2018</v>
      </c>
      <c r="L60" s="8">
        <v>2019</v>
      </c>
      <c r="M60" s="8">
        <v>2020</v>
      </c>
      <c r="O60" s="2"/>
      <c r="P60" s="2"/>
    </row>
    <row r="61" ht="12.75">
      <c r="A61" s="17" t="s">
        <v>26</v>
      </c>
    </row>
    <row r="62" spans="1:8" ht="15">
      <c r="A62" s="41" t="s">
        <v>44</v>
      </c>
      <c r="B62" s="45"/>
      <c r="C62" s="45"/>
      <c r="D62" s="45"/>
      <c r="E62" s="45"/>
      <c r="F62" s="45"/>
      <c r="G62" s="45"/>
      <c r="H62" s="45"/>
    </row>
    <row r="63" spans="1:8" ht="15" customHeight="1">
      <c r="A63" s="41" t="s">
        <v>46</v>
      </c>
      <c r="B63" s="41"/>
      <c r="C63" s="41"/>
      <c r="D63" s="41"/>
      <c r="E63" s="41"/>
      <c r="F63" s="41"/>
      <c r="G63" s="41"/>
      <c r="H63" s="41"/>
    </row>
    <row r="64" spans="1:8" ht="15" customHeight="1">
      <c r="A64" s="41" t="s">
        <v>63</v>
      </c>
      <c r="B64" s="41"/>
      <c r="C64" s="41"/>
      <c r="D64" s="41"/>
      <c r="E64" s="41"/>
      <c r="F64" s="41"/>
      <c r="G64" s="41"/>
      <c r="H64" s="41"/>
    </row>
    <row r="65" spans="1:8" ht="15">
      <c r="A65" s="41" t="s">
        <v>62</v>
      </c>
      <c r="B65" s="41"/>
      <c r="C65" s="41"/>
      <c r="D65" s="41"/>
      <c r="E65" s="41"/>
      <c r="F65" s="41"/>
      <c r="G65" s="41"/>
      <c r="H65" s="41"/>
    </row>
    <row r="66" spans="1:8" ht="15">
      <c r="A66" s="41" t="s">
        <v>27</v>
      </c>
      <c r="B66" s="41"/>
      <c r="C66" s="41"/>
      <c r="D66" s="41"/>
      <c r="E66" s="41"/>
      <c r="F66" s="41"/>
      <c r="G66" s="41"/>
      <c r="H66" s="41"/>
    </row>
    <row r="72" ht="12.75">
      <c r="A72" s="14"/>
    </row>
    <row r="73" ht="12.75">
      <c r="A73" s="14"/>
    </row>
    <row r="74" ht="12.75">
      <c r="A74" s="14"/>
    </row>
  </sheetData>
  <sheetProtection/>
  <mergeCells count="5">
    <mergeCell ref="A66:H66"/>
    <mergeCell ref="A62:H62"/>
    <mergeCell ref="A63:H63"/>
    <mergeCell ref="A64:H64"/>
    <mergeCell ref="A65:H65"/>
  </mergeCells>
  <printOptions horizontalCentered="1"/>
  <pageMargins left="0.25" right="0.2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Cleveland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Client</dc:creator>
  <cp:keywords/>
  <dc:description/>
  <cp:lastModifiedBy>Tiffany Hess</cp:lastModifiedBy>
  <cp:lastPrinted>2002-03-04T04:05:37Z</cp:lastPrinted>
  <dcterms:created xsi:type="dcterms:W3CDTF">2001-07-16T16:01:43Z</dcterms:created>
  <dcterms:modified xsi:type="dcterms:W3CDTF">2011-07-05T19:55:28Z</dcterms:modified>
  <cp:category/>
  <cp:version/>
  <cp:contentType/>
  <cp:contentStatus/>
</cp:coreProperties>
</file>