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2" windowWidth="7260" windowHeight="5508" activeTab="0"/>
  </bookViews>
  <sheets>
    <sheet name="Sheet 1" sheetId="1" r:id="rId1"/>
  </sheets>
  <definedNames>
    <definedName name="_xlfn.IFERROR" hidden="1">#NAME?</definedName>
    <definedName name="allraw" localSheetId="0">'Sheet 1'!$E$42:$I$61,'Sheet 1'!$E$73:$I$92</definedName>
    <definedName name="allraw">#REF!,#REF!</definedName>
  </definedNames>
  <calcPr fullCalcOnLoad="1"/>
</workbook>
</file>

<file path=xl/comments1.xml><?xml version="1.0" encoding="utf-8"?>
<comments xmlns="http://schemas.openxmlformats.org/spreadsheetml/2006/main">
  <authors>
    <author>Will Hopkins</author>
    <author>Reviewer</author>
    <author>whopkins</author>
  </authors>
  <commentList>
    <comment ref="Y242" authorId="0">
      <text>
        <r>
          <rPr>
            <sz val="8"/>
            <rFont val="Tahoma"/>
            <family val="2"/>
          </rPr>
          <t>This table is used to get parts of  the other tables.  Don't modify it or take values from it directly.</t>
        </r>
      </text>
    </comment>
    <comment ref="AO242" authorId="0">
      <text>
        <r>
          <rPr>
            <b/>
            <sz val="8"/>
            <rFont val="Tahoma"/>
            <family val="2"/>
          </rPr>
          <t>Will Hopkins:</t>
        </r>
        <r>
          <rPr>
            <sz val="8"/>
            <rFont val="Tahoma"/>
            <family val="2"/>
          </rPr>
          <t xml:space="preserve">
This table is used to get parts of  the other tables.  Don't modify it or take values from it directly.</t>
        </r>
      </text>
    </comment>
    <comment ref="O41" authorId="0">
      <text>
        <r>
          <rPr>
            <sz val="8"/>
            <rFont val="Tahoma"/>
            <family val="2"/>
          </rPr>
          <t>You can put any sensible combination of pre and/or post tests here.  Transfer the formula to the matching column in the tables of transformed values, if necessary. Make additional columns for other effects by copying and inserting this or any effect column other than the firwt.</t>
        </r>
      </text>
    </comment>
    <comment ref="J41" authorId="0">
      <text>
        <r>
          <rPr>
            <sz val="8"/>
            <rFont val="Tahoma"/>
            <family val="2"/>
          </rPr>
          <t>Do not add data to this column.  Instead. copy and insert an existing column  to the right of the next or other columns.  But do not copy and insert the first effect column.</t>
        </r>
      </text>
    </comment>
    <comment ref="AI98" authorId="0">
      <text>
        <r>
          <rPr>
            <sz val="8"/>
            <rFont val="Tahoma"/>
            <family val="2"/>
          </rPr>
          <t>The raw value of the observation corresponding to the mean of the rank-transformed variable.</t>
        </r>
      </text>
    </comment>
    <comment ref="I41" authorId="0">
      <text>
        <r>
          <rPr>
            <sz val="8"/>
            <rFont val="Tahoma"/>
            <family val="2"/>
          </rPr>
          <t>Do not add data to this column.  Instead, copy and insert an existing data column to the left of this column.  But do not copy and insert the first data column.</t>
        </r>
      </text>
    </comment>
    <comment ref="AI67" authorId="0">
      <text>
        <r>
          <rPr>
            <b/>
            <sz val="8"/>
            <rFont val="Tahoma"/>
            <family val="2"/>
          </rPr>
          <t>Will Hopkins:</t>
        </r>
        <r>
          <rPr>
            <sz val="8"/>
            <rFont val="Tahoma"/>
            <family val="2"/>
          </rPr>
          <t xml:space="preserve">
The raw value of the observation corresponding to the mean of the rank-transformed variable.</t>
        </r>
      </text>
    </comment>
    <comment ref="R40" authorId="0">
      <text>
        <r>
          <rPr>
            <b/>
            <sz val="8"/>
            <rFont val="Tahoma"/>
            <family val="2"/>
          </rPr>
          <t>Will Hopkins:</t>
        </r>
        <r>
          <rPr>
            <sz val="8"/>
            <rFont val="Tahoma"/>
            <family val="2"/>
          </rPr>
          <t xml:space="preserve">
Use for most kinds of performance and physiological measures.</t>
        </r>
      </text>
    </comment>
    <comment ref="AH40" authorId="0">
      <text>
        <r>
          <rPr>
            <b/>
            <sz val="8"/>
            <rFont val="Tahoma"/>
            <family val="2"/>
          </rPr>
          <t>Will Hopkins:</t>
        </r>
        <r>
          <rPr>
            <sz val="8"/>
            <rFont val="Tahoma"/>
            <family val="2"/>
          </rPr>
          <t xml:space="preserve">
Use for grossly non-normal data, such as some measures of physical activity.
If you have several pretests, you may want to exclude one or more from the rank transformation.  The easiest way is simply to clear those cells in the raw data columns.  Alternatively, choose Insert/Name/Define in the menu bar, click on allraw, then highlight the cells you want to include.  You will have to select the cells in one group, then hold the Ctrl key and select the corresponding cells in the other group.</t>
        </r>
      </text>
    </comment>
    <comment ref="E41" authorId="0">
      <text>
        <r>
          <rPr>
            <sz val="8"/>
            <rFont val="Tahoma"/>
            <family val="2"/>
          </rPr>
          <t>Do not insert a new pretest to the left of this column.
Do not delete this column.  Instead, keep the column and delete only the values for the subjects (the blue numbers), if you have only one pretest and you make it Pre2.
Do not copy-insert this column to make extra pretests.  Instead, copy-insert the next column.</t>
        </r>
      </text>
    </comment>
    <comment ref="AI68" authorId="0">
      <text>
        <r>
          <rPr>
            <b/>
            <sz val="8"/>
            <rFont val="Tahoma"/>
            <family val="2"/>
          </rPr>
          <t>Will Hopkins:</t>
        </r>
        <r>
          <rPr>
            <sz val="8"/>
            <rFont val="Tahoma"/>
            <family val="2"/>
          </rPr>
          <t xml:space="preserve">
Half the range between the back-transformed (mean -SD) and back-transformed (mean+SD) .</t>
        </r>
      </text>
    </comment>
    <comment ref="AH242" authorId="0">
      <text>
        <r>
          <rPr>
            <b/>
            <sz val="8"/>
            <rFont val="Tahoma"/>
            <family val="2"/>
          </rPr>
          <t>Will Hopkins:</t>
        </r>
        <r>
          <rPr>
            <sz val="8"/>
            <rFont val="Tahoma"/>
            <family val="2"/>
          </rPr>
          <t xml:space="preserve">
This table is used to get parts of  the other tables.  Don't modify it or take values from it directly.</t>
        </r>
      </text>
    </comment>
    <comment ref="K41" authorId="1">
      <text>
        <r>
          <rPr>
            <sz val="8"/>
            <rFont val="Tahoma"/>
            <family val="2"/>
          </rPr>
          <t>Do not delete or copy-insert this column.  Instead, copy and insert any of the other effect columns.</t>
        </r>
      </text>
    </comment>
    <comment ref="F41" authorId="1">
      <text>
        <r>
          <rPr>
            <sz val="8"/>
            <rFont val="Tahoma"/>
            <family val="2"/>
          </rPr>
          <t>Insert more pretests by copying and inserting this column to the left of this column.  Label the extra pretest(s) as Pre1a, Pre1b etc. to avoid confusion.</t>
        </r>
      </text>
    </comment>
    <comment ref="Y108" authorId="1">
      <text>
        <r>
          <rPr>
            <sz val="8"/>
            <rFont val="Tahoma"/>
            <family val="2"/>
          </rPr>
          <t>#DIV/0! is the correct value when you do not adjust for X.</t>
        </r>
      </text>
    </comment>
    <comment ref="D41" authorId="1">
      <text>
        <r>
          <rPr>
            <sz val="8"/>
            <rFont val="Tahoma"/>
            <family val="2"/>
          </rPr>
          <t>To adjust for the pretest values of the dependent variable, copy and paste the chosen pretest values into this column.</t>
        </r>
      </text>
    </comment>
    <comment ref="G41" authorId="1">
      <text>
        <r>
          <rPr>
            <sz val="8"/>
            <rFont val="Tahoma"/>
            <family val="2"/>
          </rPr>
          <t>Insert a mid-test by copying and inserting this column to the left of this column.  Label the extra test Mid or whatever to avoid confusion.</t>
        </r>
      </text>
    </comment>
    <comment ref="H41" authorId="1">
      <text>
        <r>
          <rPr>
            <sz val="8"/>
            <rFont val="Tahoma"/>
            <family val="2"/>
          </rPr>
          <t>Insert any extra post-test by copying and inserting this column to the left of this column.  Label the extra test Post1a or whatever to avoid confusion.</t>
        </r>
      </text>
    </comment>
    <comment ref="C107" authorId="0">
      <text>
        <r>
          <rPr>
            <sz val="8"/>
            <rFont val="Tahoma"/>
            <family val="2"/>
          </rPr>
          <t>Used for the percentile rank transformation, which may be needed for grossly non-normal variables such as some measures of physical activity.
If you have several pretests, you may want to exclude one or more from the rank transformation.  The easiest way is simply to clear those cells.  Alternatively, choose Insert/Name/Define in the menu bar, click on allraw, then highlight the cells you want to include.  You will have to select the cells in one group, then hold the Ctrl key and select the corresponding cells in the other group.</t>
        </r>
      </text>
    </comment>
    <comment ref="C116" authorId="0">
      <text>
        <r>
          <rPr>
            <sz val="8"/>
            <rFont val="Tahoma"/>
            <family val="2"/>
          </rPr>
          <t>These effects appear again in their appropriate tables below, with confidence limits and other useful statistics.  Note that it doesn't make sense to interpret confidence limits or clinical chances for comparisons of pretest means of control and experimental groups in a controlled trial, unless the two samples somehow represent different populations.</t>
        </r>
      </text>
    </comment>
    <comment ref="J116" authorId="0">
      <text>
        <r>
          <rPr>
            <sz val="8"/>
            <rFont val="Tahoma"/>
            <family val="2"/>
          </rPr>
          <t>These effects appear again in their appropriate tables below, with confidence limits and other useful statistics.</t>
        </r>
      </text>
    </comment>
    <comment ref="B126" authorId="0">
      <text>
        <r>
          <rPr>
            <sz val="8"/>
            <rFont val="Tahoma"/>
            <family val="2"/>
          </rPr>
          <t>When assessing the balance of assignment to the groups, interpret the magnitude of the observed difference, but do not use the confidence limits or chances to make an inference about the population or true difference.  (It doesn't make sense to.)</t>
        </r>
      </text>
    </comment>
    <comment ref="C195" authorId="0">
      <text>
        <r>
          <rPr>
            <sz val="8"/>
            <rFont val="Tahoma"/>
            <family val="2"/>
          </rPr>
          <t>This SD is the unweighted mean of the SDs of the two groups, which is the appropriate SD for standardizing the difference in means of the groups.    It is multiplied by the factor 1/(1-3/(4v-1)) to remove the small-sample bias in the estimatess of standardized effects, where v is the degrees of freedom for the SD.  Don't show this adjusted value in a publication. 
Note that the SD for the dependent variable in the pre-tests here will be a little different from the pre-test SD in the effects table on the right, which is derived by merging the groups and by combining pretests.</t>
        </r>
      </text>
    </comment>
    <comment ref="J195" authorId="0">
      <text>
        <r>
          <rPr>
            <sz val="8"/>
            <rFont val="Tahoma"/>
            <family val="2"/>
          </rPr>
          <t>The mean SD of the pretests chosen for Cohenizing magnitudes.  The mean is obtained by averaging the variances and taking the square root.  It is multiplied by the factor 1/(1-3/(4v-1)) to remove the small-sample bias in the estimatess of standardized effects. Don't show this adjusted value in a publication.  This SD is reproduced here to reduce problems when columns or tables are copied.</t>
        </r>
      </text>
    </comment>
    <comment ref="B201" authorId="0">
      <text>
        <r>
          <rPr>
            <sz val="8"/>
            <rFont val="Tahoma"/>
            <family val="2"/>
          </rPr>
          <t>When assessing the balance of assignment to the groups, interpret the magnitude of the observed difference, but do not use the confidence limits or chances to make an inference about the population or true difference.  (It doesn't make sense to.)</t>
        </r>
      </text>
    </comment>
    <comment ref="I217" authorId="0">
      <text>
        <r>
          <rPr>
            <sz val="8"/>
            <rFont val="Tahoma"/>
            <family val="2"/>
          </rPr>
          <t>Here the SD of the effect has been converted to a typical error of measurement by dividing by root 2.  Use this statistic (and its confidence limits) to compare with estimates of typical error from comparable reliability studies.</t>
        </r>
      </text>
    </comment>
    <comment ref="R126" authorId="0">
      <text>
        <r>
          <rPr>
            <sz val="8"/>
            <rFont val="Tahoma"/>
            <family val="2"/>
          </rPr>
          <t>When assessing the balance of assignment to the groups, interpret the magnitude of the observed difference, but do not use the confidence limits or chances to make an inference about the population or true difference.  (It doesn't make sense to.)</t>
        </r>
      </text>
    </comment>
    <comment ref="R151" authorId="0">
      <text>
        <r>
          <rPr>
            <sz val="8"/>
            <rFont val="Tahoma"/>
            <family val="2"/>
          </rPr>
          <t>When assessing the balance of assignment to the groups, interpret the magnitude of the observed difference, but do not use the confidence limits or chances to make an inference about the population or true difference.  (It doesn't make sense to.)</t>
        </r>
      </text>
    </comment>
    <comment ref="R242" authorId="0">
      <text>
        <r>
          <rPr>
            <sz val="8"/>
            <rFont val="Tahoma"/>
            <family val="2"/>
          </rPr>
          <t>This table is used to get parts of  the other tables.  Don't modify it or take values from it directly.</t>
        </r>
      </text>
    </comment>
    <comment ref="R249" authorId="1">
      <text>
        <r>
          <rPr>
            <sz val="8"/>
            <rFont val="Tahoma"/>
            <family val="2"/>
          </rPr>
          <t>The value shown is the Cohen threshold.  in transformed units. Don't change it here.</t>
        </r>
      </text>
    </comment>
    <comment ref="Y217" authorId="0">
      <text>
        <r>
          <rPr>
            <sz val="8"/>
            <rFont val="Tahoma"/>
            <family val="2"/>
          </rPr>
          <t>Here the SD of the effect has been converted to a typical error of measurement by dividing by root 2.  Use this statistic (and its confidence limits) to compare with estimates of typical error from comparable reliability studies.</t>
        </r>
      </text>
    </comment>
    <comment ref="Z229" authorId="0">
      <text>
        <r>
          <rPr>
            <sz val="8"/>
            <rFont val="Tahoma"/>
            <family val="2"/>
          </rPr>
          <t>The uncertainty factor here is correct, but it gives a misleading impression that the estimate of the SD is precise.</t>
        </r>
      </text>
    </comment>
    <comment ref="AI107" authorId="0">
      <text>
        <r>
          <rPr>
            <sz val="8"/>
            <rFont val="Tahoma"/>
            <family val="2"/>
          </rPr>
          <t>The raw value of the observation corresponding to the mean of the rank-transformed variable.</t>
        </r>
      </text>
    </comment>
    <comment ref="AI108" authorId="0">
      <text>
        <r>
          <rPr>
            <sz val="8"/>
            <rFont val="Tahoma"/>
            <family val="2"/>
          </rPr>
          <t>Half the range between the back-transformed (mean -SD) and back-transformed (mean+SD) .</t>
        </r>
      </text>
    </comment>
    <comment ref="AH151" authorId="0">
      <text>
        <r>
          <rPr>
            <sz val="8"/>
            <rFont val="Tahoma"/>
            <family val="2"/>
          </rPr>
          <t>When assessing the balance of assignment to the groups, interpret the magnitude of the observed difference, but do not use the confidence limits or chances to make an inference about the population or true difference.  (It doesn't make sense to.)</t>
        </r>
      </text>
    </comment>
    <comment ref="AO151" authorId="0">
      <text>
        <r>
          <rPr>
            <sz val="8"/>
            <rFont val="Tahoma"/>
            <family val="2"/>
          </rPr>
          <t>This table evaluates the effects at a chosen value of the raw variable.  The default chosen percentile is the overall mean percentile for the pretest.  You can choose a different percentile near the bottom of this table.</t>
        </r>
      </text>
    </comment>
    <comment ref="AH158" authorId="1">
      <text>
        <r>
          <rPr>
            <sz val="8"/>
            <rFont val="Tahoma"/>
            <family val="2"/>
          </rPr>
          <t xml:space="preserve">The value shown is the back-transform of the Cohen (standardized) threshold at the chosen value.
You can insert what you think are the smallest worthwhile changes at the chosen raw value.  Put a positive value in the upper cell and a negative value in the lower cell.
</t>
        </r>
      </text>
    </comment>
    <comment ref="AK170" authorId="0">
      <text>
        <r>
          <rPr>
            <sz val="8"/>
            <rFont val="Tahoma"/>
            <family val="2"/>
          </rPr>
          <t>Copied from adjacent table.</t>
        </r>
      </text>
    </comment>
    <comment ref="AQ170" authorId="1">
      <text>
        <r>
          <rPr>
            <sz val="8"/>
            <rFont val="Tahoma"/>
            <family val="2"/>
          </rPr>
          <t>The defauilt chosen value is the overall back-transformed mean in the pre test. Put any other value in this cell.</t>
        </r>
      </text>
    </comment>
    <comment ref="AO217" authorId="0">
      <text>
        <r>
          <rPr>
            <sz val="8"/>
            <rFont val="Tahoma"/>
            <family val="2"/>
          </rPr>
          <t>Here the SD of the effect has been converted to a typical error of measurement by dividing by root 2.  Use this statistic (and its confidence limits) to compare with estimates of typical error from comparable reliability studies.</t>
        </r>
      </text>
    </comment>
    <comment ref="B21" authorId="0">
      <text>
        <r>
          <rPr>
            <sz val="8"/>
            <rFont val="Tahoma"/>
            <family val="2"/>
          </rPr>
          <t xml:space="preserve">The SD representing individual responses is the typical variation in the response to the treatment from individual to individual.  So, if the mean response is 3.0 units and the SD representing individual responses is 2.0 units, most individuals (about two-thirds) will have a response somewhere in the region of 1 to 5 (3-2 to 3+2). 
Confidence limits for the SD representing individual responses are based on the assumption that the sampling distribution of the difference of the variances of the change scores is normal (one of the methods used in Proc Mixed in SAS, version 8).   The sampling variance of each variance is 2(variance)^2/(degrees of freedom).  The sampling variance of the difference in the variances is simply the sum of the two sampling variances, because the control and experimental groups are independent.
</t>
        </r>
      </text>
    </comment>
    <comment ref="B30" authorId="1">
      <text>
        <r>
          <rPr>
            <sz val="8"/>
            <rFont val="Tahoma"/>
            <family val="2"/>
          </rPr>
          <t>This is the smallest worthwhile difference or change in means in standardized (Cohen) units; that is, a fraction of the between-subject SD at baseline.  The default of 0.20 gives chances that the true effect is at least small.  Insert 0.6, 1.2 or 2.0 for chances the true effect is at least moderate, large or very large respectively.
Use standardized effects for mechanistic inferences and for clinical or practical inferences about physiological, biomechanical, psychological, anthropometric or other test scores or measures when there is no direct relationship to health, wealth or competitive performance.
Do NOT use standardized (Cohen) units to assess the magnitude of performance effects for athletes who compete as individuals, when the outcome of the competition is determined by a time, distance, or other number.  The smallest worthwhile effect for such measures is usually around 1%, more ore less depending on the measure and sport.  See the studies by Hopkins and colleagues for more.  Some physiological measures directly related to endurance performance (such as VO2max) can be assumed to have the same smallest worthwhile effect as mean power in the competitive event, around 1%.</t>
        </r>
      </text>
    </comment>
    <comment ref="B31" authorId="1">
      <text>
        <r>
          <rPr>
            <sz val="8"/>
            <rFont val="Tahoma"/>
            <family val="2"/>
          </rPr>
          <t>Used for comparison of between-subject SDs in the two groups in the pretests, which is not something you generally need to worry about.
Insert the smallest clinically or practically important difference between two SDs, expressed as a ratio, if you want estimates of the chances that the true value of the ratio is greater than this ratio and less than the inverse of this ratio.  (The spreadsheet also automatically calculates the chances that the true ratio is less than the inverse of this ratio.) 
The default ratio is 1.25, which I have based on the notion that this amount of extra variation in one group would increase the typical subject's value in that group (actually 0.8 of an SD either side of the mean) by 0.2 of an SD, which is the smallest important standardized change.</t>
        </r>
      </text>
    </comment>
    <comment ref="T41" authorId="0">
      <text>
        <r>
          <rPr>
            <b/>
            <sz val="8"/>
            <rFont val="Tahoma"/>
            <family val="2"/>
          </rPr>
          <t>Will Hopkins:</t>
        </r>
        <r>
          <rPr>
            <sz val="8"/>
            <rFont val="Tahoma"/>
            <family val="2"/>
          </rPr>
          <t xml:space="preserve">
This predictor variable is not currently transformed.</t>
        </r>
      </text>
    </comment>
    <comment ref="U41" authorId="0">
      <text>
        <r>
          <rPr>
            <b/>
            <sz val="8"/>
            <rFont val="Tahoma"/>
            <family val="2"/>
          </rPr>
          <t>Will Hopkins:</t>
        </r>
        <r>
          <rPr>
            <sz val="8"/>
            <rFont val="Tahoma"/>
            <family val="2"/>
          </rPr>
          <t xml:space="preserve">
Do not insert a new pretest to the left of this column.
Do not delete this column.  Instead, keep the column and delete only the values for the subjects (the blue numbers), if you have only one pretest and you make it Pre2.
Do not copy-insert this column to make extra pretests.  Instead, copy-insert the next column.</t>
        </r>
      </text>
    </comment>
    <comment ref="V41" authorId="1">
      <text>
        <r>
          <rPr>
            <sz val="8"/>
            <rFont val="Tahoma"/>
            <family val="2"/>
          </rPr>
          <t>Insert more pretests by copying and inserting this column to the left of this column.  Label the extra pretest(s) as Pre1a, Pre1b etc. to avoid confusion.</t>
        </r>
      </text>
    </comment>
    <comment ref="W41" authorId="1">
      <text>
        <r>
          <rPr>
            <sz val="8"/>
            <rFont val="Tahoma"/>
            <family val="2"/>
          </rPr>
          <t>Insert a mid-test by copying and inserting this column to the left of this column.  Label the extra test Mid or whatever to avoid confusion.</t>
        </r>
      </text>
    </comment>
    <comment ref="X41" authorId="1">
      <text>
        <r>
          <rPr>
            <sz val="8"/>
            <rFont val="Tahoma"/>
            <family val="2"/>
          </rPr>
          <t>Insert any extra post-test by copying and inserting this column to the left of this column.  Label the extra test Post1a or whatever to avoid confusion.</t>
        </r>
      </text>
    </comment>
    <comment ref="Y41" authorId="0">
      <text>
        <r>
          <rPr>
            <b/>
            <sz val="8"/>
            <rFont val="Tahoma"/>
            <family val="2"/>
          </rPr>
          <t>Will Hopkins:</t>
        </r>
        <r>
          <rPr>
            <sz val="8"/>
            <rFont val="Tahoma"/>
            <family val="2"/>
          </rPr>
          <t xml:space="preserve">
Do not add data to this column.  Instead, copy and insert an existing data column to the left of this column.  But do not copy and insert the first data column.</t>
        </r>
      </text>
    </comment>
    <comment ref="Z41" authorId="0">
      <text>
        <r>
          <rPr>
            <b/>
            <sz val="8"/>
            <rFont val="Tahoma"/>
            <family val="2"/>
          </rPr>
          <t>Will Hopkins:</t>
        </r>
        <r>
          <rPr>
            <sz val="8"/>
            <rFont val="Tahoma"/>
            <family val="2"/>
          </rPr>
          <t xml:space="preserve">
Do not add data to this column.  Instead. copy and insert an existing column  to the right of the next or other columns.  But do not copy and insert the first effect column.</t>
        </r>
      </text>
    </comment>
    <comment ref="AA41" authorId="1">
      <text>
        <r>
          <rPr>
            <sz val="8"/>
            <rFont val="Tahoma"/>
            <family val="2"/>
          </rPr>
          <t>Do not delete or copy-insert this column.  Instead, copy and insert any of the other effect columns.</t>
        </r>
      </text>
    </comment>
    <comment ref="AE41" authorId="0">
      <text>
        <r>
          <rPr>
            <b/>
            <sz val="8"/>
            <rFont val="Tahoma"/>
            <family val="2"/>
          </rPr>
          <t>Will Hopkins:</t>
        </r>
        <r>
          <rPr>
            <sz val="8"/>
            <rFont val="Tahoma"/>
            <family val="2"/>
          </rPr>
          <t xml:space="preserve">
You can put any sensible combination of pre and/or post tests here.  Transfer the formula to the matching column in the tables of transformed values, if necessary. Make additional columns for other effects by copying and inserting this or any effect column other than the firwt.</t>
        </r>
      </text>
    </comment>
    <comment ref="AJ41" authorId="0">
      <text>
        <r>
          <rPr>
            <b/>
            <sz val="8"/>
            <rFont val="Tahoma"/>
            <family val="2"/>
          </rPr>
          <t>Will Hopkins:</t>
        </r>
        <r>
          <rPr>
            <sz val="8"/>
            <rFont val="Tahoma"/>
            <family val="2"/>
          </rPr>
          <t xml:space="preserve">
This predictor variable is not currently transformed.</t>
        </r>
      </text>
    </comment>
    <comment ref="AK41" authorId="0">
      <text>
        <r>
          <rPr>
            <b/>
            <sz val="8"/>
            <rFont val="Tahoma"/>
            <family val="2"/>
          </rPr>
          <t>Will Hopkins:</t>
        </r>
        <r>
          <rPr>
            <sz val="8"/>
            <rFont val="Tahoma"/>
            <family val="2"/>
          </rPr>
          <t xml:space="preserve">
Do not insert a new pretest to the left of this column.
Do not delete this column.  Instead, keep the column and delete only the values for the subjects (the blue numbers), if you have only one pretest and you make it Pre2.
Do not copy-insert this column to make extra pretests.  Instead, copy-insert the next column.</t>
        </r>
      </text>
    </comment>
    <comment ref="AL41" authorId="1">
      <text>
        <r>
          <rPr>
            <sz val="8"/>
            <rFont val="Tahoma"/>
            <family val="2"/>
          </rPr>
          <t>Insert more pretests by copying and inserting this column to the left of this column.  Label the extra pretest(s) as Pre1a, Pre1b etc. to avoid confusion.</t>
        </r>
      </text>
    </comment>
    <comment ref="AM41" authorId="1">
      <text>
        <r>
          <rPr>
            <sz val="8"/>
            <rFont val="Tahoma"/>
            <family val="2"/>
          </rPr>
          <t>Insert a mid-test by copying and inserting this column to the left of this column.  Label the extra test Mid or whatever to avoid confusion.</t>
        </r>
      </text>
    </comment>
    <comment ref="AN41" authorId="1">
      <text>
        <r>
          <rPr>
            <sz val="8"/>
            <rFont val="Tahoma"/>
            <family val="2"/>
          </rPr>
          <t>Insert any extra post-test by copying and inserting this column to the left of this column.  Label the extra test Post1a or whatever to avoid confusion.</t>
        </r>
      </text>
    </comment>
    <comment ref="AO41" authorId="0">
      <text>
        <r>
          <rPr>
            <b/>
            <sz val="8"/>
            <rFont val="Tahoma"/>
            <family val="2"/>
          </rPr>
          <t>Will Hopkins:</t>
        </r>
        <r>
          <rPr>
            <sz val="8"/>
            <rFont val="Tahoma"/>
            <family val="2"/>
          </rPr>
          <t xml:space="preserve">
Do not add data to this column.  Instead, copy and insert an existing data column to the left of this column.  But do not copy and insert the first data column.</t>
        </r>
      </text>
    </comment>
    <comment ref="AP41" authorId="0">
      <text>
        <r>
          <rPr>
            <b/>
            <sz val="8"/>
            <rFont val="Tahoma"/>
            <family val="2"/>
          </rPr>
          <t>Will Hopkins:</t>
        </r>
        <r>
          <rPr>
            <sz val="8"/>
            <rFont val="Tahoma"/>
            <family val="2"/>
          </rPr>
          <t xml:space="preserve">
Do not add data to this column.  Instead. copy and insert an existing column  to the right of the next or other columns.  But do not copy and insert the first effect column.</t>
        </r>
      </text>
    </comment>
    <comment ref="AQ41" authorId="1">
      <text>
        <r>
          <rPr>
            <sz val="8"/>
            <rFont val="Tahoma"/>
            <family val="2"/>
          </rPr>
          <t>Do not delete or copy-insert this column.  Instead, copy and insert any of the other effect columns.</t>
        </r>
      </text>
    </comment>
    <comment ref="AU41" authorId="0">
      <text>
        <r>
          <rPr>
            <b/>
            <sz val="8"/>
            <rFont val="Tahoma"/>
            <family val="2"/>
          </rPr>
          <t>Will Hopkins:</t>
        </r>
        <r>
          <rPr>
            <sz val="8"/>
            <rFont val="Tahoma"/>
            <family val="2"/>
          </rPr>
          <t xml:space="preserve">
You can put any sensible combination of pre and/or post tests here.  Transfer the formula to the matching column in the tables of transformed values, if necessary. Make additional columns for other effects by copying and inserting this or any effect column other than the firwt.</t>
        </r>
      </text>
    </comment>
    <comment ref="I108" authorId="1">
      <text>
        <r>
          <rPr>
            <sz val="8"/>
            <rFont val="Tahoma"/>
            <family val="2"/>
          </rPr>
          <t>#DIV/0! is the correct value when you do not adjust for X.</t>
        </r>
      </text>
    </comment>
    <comment ref="AO108" authorId="1">
      <text>
        <r>
          <rPr>
            <sz val="8"/>
            <rFont val="Tahoma"/>
            <family val="2"/>
          </rPr>
          <t>#DIV/0! is the correct value when you do not adjust for X.</t>
        </r>
      </text>
    </comment>
    <comment ref="Z116" authorId="0">
      <text>
        <r>
          <rPr>
            <sz val="8"/>
            <rFont val="Tahoma"/>
            <family val="2"/>
          </rPr>
          <t>These effects appear again in their appropriate tables below, with confidence limits and other useful statistics.</t>
        </r>
      </text>
    </comment>
    <comment ref="AP116" authorId="0">
      <text>
        <r>
          <rPr>
            <sz val="8"/>
            <rFont val="Tahoma"/>
            <family val="2"/>
          </rPr>
          <t>These effects appear again in their appropriate tables below, with confidence limits and other useful statistics.</t>
        </r>
      </text>
    </comment>
    <comment ref="S116" authorId="0">
      <text>
        <r>
          <rPr>
            <sz val="8"/>
            <rFont val="Tahoma"/>
            <family val="2"/>
          </rPr>
          <t>These effects appear again in their appropriate tables below, with confidence limits and other useful statistics.  Note that it doesn't make sense to interpret confidence limits or clinical chances for comparisons of pretest means of control and experimental groups in a controlled trial.</t>
        </r>
      </text>
    </comment>
    <comment ref="AI116" authorId="0">
      <text>
        <r>
          <rPr>
            <sz val="8"/>
            <rFont val="Tahoma"/>
            <family val="2"/>
          </rPr>
          <t>These effects appear again in their appropriate tables below, with confidence limits and other useful statistics.  Note that it doesn't make sense to interpret confidence limits or clinical chances for comparisons of pretest means of control and experimental groups in a controlled trial.</t>
        </r>
      </text>
    </comment>
    <comment ref="AI99" authorId="0">
      <text>
        <r>
          <rPr>
            <sz val="8"/>
            <rFont val="Tahoma"/>
            <family val="2"/>
          </rPr>
          <t>Half the range between the back-transformed (mean -SD) and back-transformed (mean+SD) .</t>
        </r>
      </text>
    </comment>
    <comment ref="D33" authorId="1">
      <text>
        <r>
          <rPr>
            <sz val="8"/>
            <rFont val="Tahoma"/>
            <family val="2"/>
          </rPr>
          <t>The inferences are based on whatever level of confidence you choose here.  The default of 90% is adequate for a study with a single inference (outcome).</t>
        </r>
      </text>
    </comment>
    <comment ref="S195" authorId="0">
      <text>
        <r>
          <rPr>
            <sz val="8"/>
            <rFont val="Tahoma"/>
            <family val="2"/>
          </rPr>
          <t>This SD is the unweighted mean of the SDs of the two groups, which is the appropriate SD for standardizing the difference in means of the groups.    It is multiplied by the factor 1/(1-3/(4v-1)) to remove the small-sample bias in the estimatess of standardized effects, where v is the degrees of freedom for the SD.  Don't show this adjusted value in a publication. 
Note that the SD for the dependent variable in the pre-tests here will be a little different from the pre-test SD in the effects table on the right, which is derived by merging the groups and by combining pretests.</t>
        </r>
      </text>
    </comment>
    <comment ref="AI195" authorId="0">
      <text>
        <r>
          <rPr>
            <sz val="8"/>
            <rFont val="Tahoma"/>
            <family val="2"/>
          </rPr>
          <t>This SD is the unweighted mean of the SDs of the two groups, which is the appropriate SD for standardizing the difference in means of the groups.    It is multiplied by the factor 1/(1-3/(4v-1)) to remove the small-sample bias in the estimatess of standardized effects, where v is the degrees of freedom for the SD.  Don't show this adjusted value in a publication. 
Note that the SD for the dependent variable in the pre-tests here will be a little different from the pre-test SD in the effects table on the right, which is derived by merging the groups and by combining pretests.</t>
        </r>
      </text>
    </comment>
    <comment ref="Z195" authorId="0">
      <text>
        <r>
          <rPr>
            <sz val="8"/>
            <rFont val="Tahoma"/>
            <family val="2"/>
          </rPr>
          <t>The mean SD of the pretests chosen for Cohenizing magnitudes.  The mean is obtained by averaging the variances and taking the square root.  It is multiplied by the factor 1/(1-3/(4v-1)) to remove the small-sample bias in the estimatess of standardized effects. Don't show this adjusted value in a publication.  This SD is reproduced here to reduce problems when columns or tables are copied.</t>
        </r>
      </text>
    </comment>
    <comment ref="AP195" authorId="0">
      <text>
        <r>
          <rPr>
            <sz val="8"/>
            <rFont val="Tahoma"/>
            <family val="2"/>
          </rPr>
          <t>The mean SD of the pretests chosen for Cohenizing magnitudes.  The mean is obtained by averaging the variances and taking the square root.  It is multiplied by the factor 1/(1-3/(4v-1)) to remove the small-sample bias in the estimatess of standardized effects. Don't show this adjusted value in a publication.  This SD is reproduced here to reduce problems when columns or tables are copied.</t>
        </r>
      </text>
    </comment>
    <comment ref="Y249" authorId="1">
      <text>
        <r>
          <rPr>
            <sz val="8"/>
            <rFont val="Tahoma"/>
            <family val="2"/>
          </rPr>
          <t>The value shown is the Cohen threshold.  in transformed units. Don't change it here.</t>
        </r>
      </text>
    </comment>
    <comment ref="AH249" authorId="1">
      <text>
        <r>
          <rPr>
            <sz val="8"/>
            <rFont val="Tahoma"/>
            <family val="2"/>
          </rPr>
          <t>The value shown is the Cohen threshold.  in transformed units. Don't change it here.</t>
        </r>
      </text>
    </comment>
    <comment ref="AO249" authorId="1">
      <text>
        <r>
          <rPr>
            <sz val="8"/>
            <rFont val="Tahoma"/>
            <family val="2"/>
          </rPr>
          <t>The value shown is the Cohen threshold.  in transformed units. Don't change it here.</t>
        </r>
      </text>
    </comment>
    <comment ref="B135" authorId="1">
      <text>
        <r>
          <rPr>
            <sz val="8"/>
            <rFont val="Tahoma"/>
            <family val="2"/>
          </rPr>
          <t>The qualitative probabilities are defined by the following scale:
&lt;0.5%, almost certainly not
&lt;5%, very unlikely
&lt;25%, unlikely, probably not
25-75%, possibly, possibly not
&gt;75%, likely, probably
&gt;95%, very likely
&gt;99.5%, almost certainly</t>
        </r>
      </text>
    </comment>
    <comment ref="B209" authorId="1">
      <text>
        <r>
          <rPr>
            <sz val="8"/>
            <rFont val="Tahoma"/>
            <family val="2"/>
          </rPr>
          <t>The qualitative probabilities are defined by the following scale:
&lt;0.5%, almost certainly not
&lt;5%, very unlikely
&lt;25%, unlikely, probably not
25-75%, possibly, possibly not
&gt;75%, likely, probably
&gt;95%, very likely
&gt;99.5
%, almost certainly</t>
        </r>
      </text>
    </comment>
    <comment ref="AI109" authorId="1">
      <text>
        <r>
          <rPr>
            <sz val="8"/>
            <rFont val="Tahoma"/>
            <family val="2"/>
          </rPr>
          <t>Means are for those pre-tests chosen to provide the standard deviation for standardizing effects.</t>
        </r>
      </text>
    </comment>
    <comment ref="S111" authorId="1">
      <text>
        <r>
          <rPr>
            <sz val="8"/>
            <rFont val="Tahoma"/>
            <family val="2"/>
          </rPr>
          <t>Used as denominator for standardized (Cohen) differences.  If you have more than one pretest, you may want to average their SDs or choose a particular pretest.  Place a "1" in the cells on the right to choose the pretest(s).  
If you insert extra pretests correctly (by copying the 2nd pretest column and inserting it between the 1st and 2nd pretest columns), the functionality of this feature will be retained.</t>
        </r>
      </text>
    </comment>
    <comment ref="C111" authorId="1">
      <text>
        <r>
          <rPr>
            <sz val="8"/>
            <rFont val="Tahoma"/>
            <family val="2"/>
          </rPr>
          <t>Used as denominator for standardized (Cohen) differences.  If you have more than one pretest, you may want to average their SDs or choose a particular pretest.  Place a "1" in the cells on the right to choose the pretest(s).  
If you insert extra pretests correctly (by copying the 2nd pretest column and inserting it between the 1st and 2nd pretest columns), the functionality of this feature will be retained.</t>
        </r>
      </text>
    </comment>
    <comment ref="AH176" authorId="0">
      <text>
        <r>
          <rPr>
            <sz val="8"/>
            <rFont val="Tahoma"/>
            <family val="2"/>
          </rPr>
          <t xml:space="preserve">When assessing the balance of assignment to the groups, interpret the magnitude of the observed difference, but do not use the confidence limits or chances to make an inference about the population or true difference.  (It doesn't make sense to.)
</t>
        </r>
      </text>
    </comment>
    <comment ref="R201" authorId="0">
      <text>
        <r>
          <rPr>
            <sz val="8"/>
            <rFont val="Tahoma"/>
            <family val="2"/>
          </rPr>
          <t>When assessing the balance of assignment to the groups, interpret the magnitude of the observed difference, but do not use the confidence limits or chances to make an inference about the population or true difference.  (It doesn't make sense to.)</t>
        </r>
      </text>
    </comment>
    <comment ref="AH201" authorId="0">
      <text>
        <r>
          <rPr>
            <sz val="8"/>
            <rFont val="Tahoma"/>
            <family val="2"/>
          </rPr>
          <t>When assessing the balance of assignment to the groups, interpret the magnitude of the observed difference, but do not use the confidence limits or chances to make an inference about the population or true difference.  (It doesn't make sense to.)</t>
        </r>
      </text>
    </comment>
    <comment ref="J62" authorId="1">
      <text>
        <r>
          <rPr>
            <sz val="8"/>
            <rFont val="Tahoma"/>
            <family val="2"/>
          </rPr>
          <t xml:space="preserve">If you inserted a value for difference in X in the "Show effects for </t>
        </r>
        <r>
          <rPr>
            <sz val="8"/>
            <rFont val="Symbol"/>
            <family val="1"/>
          </rPr>
          <t>D</t>
        </r>
        <r>
          <rPr>
            <sz val="8"/>
            <rFont val="Tahoma"/>
            <family val="2"/>
          </rPr>
          <t>X" cell, the values shown are the predicted effect of the difference in X.  Otherwise the values are the mean change (adjusted or unadjusted for X, depending on whether or not you put a value for X in the "Adjusted for X =" cell).</t>
        </r>
      </text>
    </comment>
    <comment ref="J63" authorId="0">
      <text>
        <r>
          <rPr>
            <sz val="8"/>
            <rFont val="Tahoma"/>
            <family val="2"/>
          </rPr>
          <t>The SD is the standard deviation of the change scores.  The SEE (standard error of the estimate) is the standard deviation of the change scores after the effect of X has been taken into account.  If X has little effect on the change scores, the SEE will be similar to the SD; otherwise it will be smaller.
When the SD (or SEE) of the exptal group is bigger than that in the control group, you have evidence of individual responses to the treatment (or individual responses still not accounted for by X)..</t>
        </r>
      </text>
    </comment>
    <comment ref="J64" authorId="1">
      <text>
        <r>
          <rPr>
            <sz val="8"/>
            <rFont val="Tahoma"/>
            <family val="2"/>
          </rPr>
          <t>SE = standard error.  Do not report this statistic.  It is used to calculate confidence limits.</t>
        </r>
      </text>
    </comment>
    <comment ref="J93" authorId="1">
      <text>
        <r>
          <rPr>
            <sz val="8"/>
            <rFont val="Tahoma"/>
            <family val="2"/>
          </rPr>
          <t xml:space="preserve">If you inserted a value for difference in X in the "Show effects for </t>
        </r>
        <r>
          <rPr>
            <sz val="8"/>
            <rFont val="Symbol"/>
            <family val="1"/>
          </rPr>
          <t>D</t>
        </r>
        <r>
          <rPr>
            <sz val="8"/>
            <rFont val="Tahoma"/>
            <family val="2"/>
          </rPr>
          <t>X" cell, the values shown are the predicted effect of the difference in X.  Otherwise the values are the mean change (adjusted or unadjusted for X, depending on whether or not you put a value for X in the "Adjusted for X =" cell).</t>
        </r>
      </text>
    </comment>
    <comment ref="J94" authorId="0">
      <text>
        <r>
          <rPr>
            <sz val="8"/>
            <rFont val="Tahoma"/>
            <family val="2"/>
          </rPr>
          <t>The SD is the standard deviation of the change scores.  The SEE (standard error of the estimate) is the standard deviation of the change scores after the effect of X has been taken into account.  If X has little effect on the change scores, the SEE will be similar to the SD; otherwise it will be smaller.
When the SD (or SEE) of the exptal group is bigger than that in the control group, you have evidence of individual responses to the treatment (or individual responses still not accounted for by X)..</t>
        </r>
      </text>
    </comment>
    <comment ref="J95" authorId="1">
      <text>
        <r>
          <rPr>
            <sz val="8"/>
            <rFont val="Tahoma"/>
            <family val="2"/>
          </rPr>
          <t>SE = standard error.  Do not report this statistic.  It is used to calculate confidence limits.</t>
        </r>
      </text>
    </comment>
    <comment ref="Z62" authorId="1">
      <text>
        <r>
          <rPr>
            <sz val="8"/>
            <rFont val="Tahoma"/>
            <family val="2"/>
          </rPr>
          <t xml:space="preserve">If you inserted a value for difference in X in the "Show effects for </t>
        </r>
        <r>
          <rPr>
            <sz val="8"/>
            <rFont val="Symbol"/>
            <family val="1"/>
          </rPr>
          <t>D</t>
        </r>
        <r>
          <rPr>
            <sz val="8"/>
            <rFont val="Tahoma"/>
            <family val="2"/>
          </rPr>
          <t>X" cell, the values shown are the predicted effect of the difference in X.  Otherwise the values are the mean change (adjusted or unadjusted for X, depending on whether or not you put a value for X in the "Adjusted for X =" cell).</t>
        </r>
      </text>
    </comment>
    <comment ref="Z63" authorId="0">
      <text>
        <r>
          <rPr>
            <sz val="8"/>
            <rFont val="Tahoma"/>
            <family val="2"/>
          </rPr>
          <t>The SD is the standard deviation of the change scores.  The SEE (standard error of the estimate) is the standard deviation of the change scores after the effect of X has been taken into account.  If X has little effect on the change scores, the SEE will be similar to the SD; otherwise it will be smaller.
When the SD (or SEE) of the exptal group is bigger than that in the control group, you have evidence of individual responses to the treatment (or individual responses still not accounted for by X)..</t>
        </r>
      </text>
    </comment>
    <comment ref="Z64" authorId="1">
      <text>
        <r>
          <rPr>
            <sz val="8"/>
            <rFont val="Tahoma"/>
            <family val="2"/>
          </rPr>
          <t>SE = standard error.  Do not report this statistic.  It is used to calculate confidence limits.</t>
        </r>
      </text>
    </comment>
    <comment ref="Z93" authorId="1">
      <text>
        <r>
          <rPr>
            <sz val="8"/>
            <rFont val="Tahoma"/>
            <family val="2"/>
          </rPr>
          <t xml:space="preserve">If you inserted a value for difference in X in the "Show effects for </t>
        </r>
        <r>
          <rPr>
            <sz val="8"/>
            <rFont val="Symbol"/>
            <family val="1"/>
          </rPr>
          <t>D</t>
        </r>
        <r>
          <rPr>
            <sz val="8"/>
            <rFont val="Tahoma"/>
            <family val="2"/>
          </rPr>
          <t>X" cell, the values shown are the predicted effect of the difference in X.  Otherwise the values are the mean change (adjusted or unadjusted for X, depending on whether or not you put a value for X in the "Adjusted for X =" cell).</t>
        </r>
      </text>
    </comment>
    <comment ref="Z94" authorId="0">
      <text>
        <r>
          <rPr>
            <sz val="8"/>
            <rFont val="Tahoma"/>
            <family val="2"/>
          </rPr>
          <t>The SD is the standard deviation of the change scores.  The SEE (standard error of the estimate) is the standard deviation of the change scores after the effect of X has been taken into account.  If X has little effect on the change scores, the SEE will be similar to the SD; otherwise it will be smaller.
When the SD (or SEE) of the exptal group is bigger than that in the control group, you have evidence of individual responses to the treatment (or individual responses still not accounted for by X)..</t>
        </r>
      </text>
    </comment>
    <comment ref="Z95" authorId="1">
      <text>
        <r>
          <rPr>
            <sz val="8"/>
            <rFont val="Tahoma"/>
            <family val="2"/>
          </rPr>
          <t>SE = standard error.  Do not report this statistic.  It is used to calculate confidence limits.</t>
        </r>
      </text>
    </comment>
    <comment ref="AP62" authorId="1">
      <text>
        <r>
          <rPr>
            <sz val="8"/>
            <rFont val="Tahoma"/>
            <family val="2"/>
          </rPr>
          <t xml:space="preserve">If you inserted a value for difference in X in the "Show effects for </t>
        </r>
        <r>
          <rPr>
            <sz val="8"/>
            <rFont val="Symbol"/>
            <family val="1"/>
          </rPr>
          <t>D</t>
        </r>
        <r>
          <rPr>
            <sz val="8"/>
            <rFont val="Tahoma"/>
            <family val="2"/>
          </rPr>
          <t>X" cell, the values shown are the predicted effect of the difference in X.  Otherwise the values are the mean change (adjusted or unadjusted for X, depending on whether or not you put a value for X in the "Adjusted for X =" cell).</t>
        </r>
      </text>
    </comment>
    <comment ref="AP63" authorId="0">
      <text>
        <r>
          <rPr>
            <sz val="8"/>
            <rFont val="Tahoma"/>
            <family val="2"/>
          </rPr>
          <t>The SD is the standard deviation of the change scores.  The SEE (standard error of the estimate) is the standard deviation of the change scores after the effect of X has been taken into account.  If X has little effect on the change scores, the SEE will be similar to the SD; otherwise it will be smaller.
When the SD (or SEE) of the exptal group is bigger than that in the control group, you have evidence of individual responses to the treatment (or individual responses still not accounted for by X)..</t>
        </r>
      </text>
    </comment>
    <comment ref="AP64" authorId="1">
      <text>
        <r>
          <rPr>
            <sz val="8"/>
            <rFont val="Tahoma"/>
            <family val="2"/>
          </rPr>
          <t>SE = standard error.  Do not report this statistic.  It is used to calculate confidence limits.</t>
        </r>
      </text>
    </comment>
    <comment ref="AP93" authorId="1">
      <text>
        <r>
          <rPr>
            <sz val="8"/>
            <rFont val="Tahoma"/>
            <family val="2"/>
          </rPr>
          <t xml:space="preserve">If you inserted a value for difference in X in the "Show effects for </t>
        </r>
        <r>
          <rPr>
            <sz val="8"/>
            <rFont val="Symbol"/>
            <family val="1"/>
          </rPr>
          <t>D</t>
        </r>
        <r>
          <rPr>
            <sz val="8"/>
            <rFont val="Tahoma"/>
            <family val="2"/>
          </rPr>
          <t>X" cell, the values shown are the predicted effect of the difference in X.  Otherwise the values are the mean change (adjusted or unadjusted for X, depending on whether or not you put a value for X in the "Adjusted for X =" cell).</t>
        </r>
      </text>
    </comment>
    <comment ref="AP94" authorId="0">
      <text>
        <r>
          <rPr>
            <sz val="8"/>
            <rFont val="Tahoma"/>
            <family val="2"/>
          </rPr>
          <t>The SD is the standard deviation of the change scores.  The SEE (standard error of the estimate) is the standard deviation of the change scores after the effect of X has been taken into account.  If X has little effect on the change scores, the SEE will be similar to the SD; otherwise it will be smaller.
When the SD (or SEE) of the exptal group is bigger than that in the control group, you have evidence of individual responses to the treatment (or individual responses still not accounted for by X)..</t>
        </r>
      </text>
    </comment>
    <comment ref="AP95" authorId="1">
      <text>
        <r>
          <rPr>
            <sz val="8"/>
            <rFont val="Tahoma"/>
            <family val="2"/>
          </rPr>
          <t>SE = standard error.  Do not report this statistic.  It is used to calculate confidence limits.</t>
        </r>
      </text>
    </comment>
    <comment ref="B146" authorId="1">
      <text>
        <r>
          <rPr>
            <sz val="8"/>
            <rFont val="Tahoma"/>
            <family val="2"/>
          </rPr>
          <t>You would not normally use this statistic for comparisons at baseline.  It's a measure of individual differences between the treatment and control groups, akin to the ratio of the standard deviations.  A positive value indicates a larger standard deviation in the treatment group; a negative value indicates the opposite.</t>
        </r>
      </text>
    </comment>
    <comment ref="I146" authorId="1">
      <text>
        <r>
          <rPr>
            <sz val="8"/>
            <rFont val="Tahoma"/>
            <family val="2"/>
          </rPr>
          <t>A positive value represents individual responses to the experimental treatment.  A negative value indicates more within-subject variation in the control group than in the intervention group (probably because of sampling variation).</t>
        </r>
      </text>
    </comment>
    <comment ref="B196" authorId="1">
      <text>
        <r>
          <rPr>
            <sz val="8"/>
            <rFont val="Tahoma"/>
            <family val="2"/>
          </rPr>
          <t>You would not normally use this statistic.  It's a measure of individual differences between the treatment and control groups, akin to the ratio of the standard deviations.  A positive value indicates a larger standard deviation in the treatment group; a negative value indicates the opposite.</t>
        </r>
      </text>
    </comment>
    <comment ref="R196" authorId="1">
      <text>
        <r>
          <rPr>
            <sz val="8"/>
            <rFont val="Tahoma"/>
            <family val="2"/>
          </rPr>
          <t>You would not normally use this statistic.  It's a measure of individual differences between the treatment and control groups, akin to the ratio of the standard deviations.  A positive value indicates a larger standard deviation in the treatment group; a negative value indicates the opposite.</t>
        </r>
      </text>
    </comment>
    <comment ref="AH196" authorId="1">
      <text>
        <r>
          <rPr>
            <sz val="8"/>
            <rFont val="Tahoma"/>
            <family val="2"/>
          </rPr>
          <t>You would not normally use this statistic.  It's a measure of individual differences between the treatment and control groups, akin to the ratio of the standard deviations.  A positive value indicates a larger standard deviation in the treatment group; a negative value indicates the opposite.</t>
        </r>
      </text>
    </comment>
    <comment ref="I196" authorId="1">
      <text>
        <r>
          <rPr>
            <sz val="8"/>
            <rFont val="Tahoma"/>
            <family val="2"/>
          </rPr>
          <t>A positive value represents individual responses to the experimental treatment.  A negative value indicates more within-subject variation in the control group than in the intervention group (probably because of sampling variation).</t>
        </r>
      </text>
    </comment>
    <comment ref="Y196" authorId="1">
      <text>
        <r>
          <rPr>
            <sz val="8"/>
            <rFont val="Tahoma"/>
            <family val="2"/>
          </rPr>
          <t>A positive value represents individual responses to the experimental treatment.  A negative value indicates more within-subject variation in the control group than in the intervention group (probably because of sampling variation).</t>
        </r>
      </text>
    </comment>
    <comment ref="AO196" authorId="1">
      <text>
        <r>
          <rPr>
            <sz val="8"/>
            <rFont val="Tahoma"/>
            <family val="2"/>
          </rPr>
          <t>A positive value represents individual responses to the experimental treatment.  A negative value indicates more within-subject variation in the control group than in the intervention group (probably because of sampling variation).</t>
        </r>
      </text>
    </comment>
    <comment ref="R171" authorId="1">
      <text>
        <r>
          <rPr>
            <sz val="8"/>
            <rFont val="Tahoma"/>
            <family val="2"/>
          </rPr>
          <t>You would not normally use this statistic.  It's a measure of individual differences between the treatment and control groups, akin to the ratio of the standard deviations.  A positive value indicates a larger standard deviation in the treatment group; a negative value indicates the opposite.</t>
        </r>
      </text>
    </comment>
    <comment ref="Y171" authorId="1">
      <text>
        <r>
          <rPr>
            <sz val="8"/>
            <rFont val="Tahoma"/>
            <family val="2"/>
          </rPr>
          <t>A positive value represents individual responses to the experimental treatment.  A negative value indicates more within-subject variation in the control group than in the intervention group (probably because of sampling variation).</t>
        </r>
      </text>
    </comment>
    <comment ref="R146" authorId="1">
      <text>
        <r>
          <rPr>
            <sz val="8"/>
            <rFont val="Tahoma"/>
            <family val="2"/>
          </rPr>
          <t>You would not normally use this statistic.  It's a measure of individual differences between the treatment and control groups, akin to the ratio of the standard deviations.  A positive value indicates a larger standard deviation in the treatment group; a negative value indicates the opposite.</t>
        </r>
      </text>
    </comment>
    <comment ref="Y146" authorId="1">
      <text>
        <r>
          <rPr>
            <sz val="8"/>
            <rFont val="Tahoma"/>
            <family val="2"/>
          </rPr>
          <t>A positive value represents individual responses to the experimental treatment.  A negative value indicates more within-subject variation in the control group than in the intervention group (probably because of sampling variation).</t>
        </r>
      </text>
    </comment>
    <comment ref="AH171" authorId="1">
      <text>
        <r>
          <rPr>
            <sz val="8"/>
            <rFont val="Tahoma"/>
            <family val="2"/>
          </rPr>
          <t>You would not normally use this statistic.  It's a measure of individual differences between the treatment and control groups, akin to the ratio of the standard deviations.  A positive value indicates a larger standard deviation in the treatment group; a negative value indicates the opposite.</t>
        </r>
      </text>
    </comment>
    <comment ref="AO171" authorId="1">
      <text>
        <r>
          <rPr>
            <sz val="8"/>
            <rFont val="Tahoma"/>
            <family val="2"/>
          </rPr>
          <t>A positive value represents individual responses to the experimental treatment.  A negative value indicates more within-subject variation in the control group than in the intervention group (probably because of sampling variation).</t>
        </r>
      </text>
    </comment>
    <comment ref="B22" authorId="1">
      <text>
        <r>
          <rPr>
            <sz val="8"/>
            <rFont val="Tahoma"/>
            <family val="2"/>
          </rPr>
          <t xml:space="preserve">If you are using this spreadsheet, you will have obtained pre- and post-intervention data for a control and experimental group of subjects.  For noisy data, such as concentrations of some hormones, you sometimes get better precision by analyzing only the post data.  You can do that here by putting post values rather than post-pre change scores in an effects column.  The adjustment for the covariate will still work, but for measures that aren't noisy the adjustment may not be as successful. </t>
        </r>
      </text>
    </comment>
    <comment ref="J35" authorId="1">
      <text>
        <r>
          <rPr>
            <sz val="8"/>
            <rFont val="Tahoma"/>
            <family val="2"/>
          </rPr>
          <t xml:space="preserve">If you leave this cell blank, you get the usual unadjusted effects.  
To adjust the outcome to a certain value of X, insert its value here.  The usual value is the mean of X, but you can explore other values.   The SD of X is shown to guide your exploration!  A dashed line will appear in the figures at the chosen value.  The effect in each group is the value where the dashed line intersects the regression line.  The difference between the effect in each group is the outcome in the tables below. 
If the covariate is a binary variable coded as 0 and 1 to represent, for example, females and males, put 0 in this cell to get the effect for females, 1 to get the effect for males, and 0.5 to get the mean effect for females and males.  Use the value 0.5 for the mean,  even though there may be unequal numbers of males and females in the study.
Note that the individual responses are adjusted for X, too.  So, if there is a substantial effect of X on the outcome, adjusting for X will reduce the individual responses, because it is helping to account for them.
You can also quantify the effect of a difference in X by inserting values for differences in X in the "Show effects for </t>
        </r>
        <r>
          <rPr>
            <sz val="8"/>
            <rFont val="Symbol"/>
            <family val="1"/>
          </rPr>
          <t>D</t>
        </r>
        <r>
          <rPr>
            <sz val="8"/>
            <rFont val="Tahoma"/>
            <family val="2"/>
          </rPr>
          <t>x" cell below.  Read the comment there.</t>
        </r>
      </text>
    </comment>
    <comment ref="J38" authorId="1">
      <text>
        <r>
          <rPr>
            <sz val="8"/>
            <rFont val="Tahoma"/>
            <family val="2"/>
          </rPr>
          <t xml:space="preserve">If this cell is blank, the effects shown immediately below in the turquiose cells are the usual mean change in the dependent variable in each group (with or without adjustment, depending on whether you have anything in the "Adjusted to X=" cell).  The outcomes further down are the difference of the mean changes.
Insert a value in this cell to estimate the effect of a difference in X on the change in each group (in the turquoise cells) and on the difference in the changes (in the outcomes cells lower down).  The best value to insert is two SDs of X (insert 2x the SD shown in the cell above, not simply the number "2"), because the standardized effects for X are then consistent with Cohen's scale for correlations.  See the page on magnitudes at newstats.org for more on this issue.
If the covariate is a binary variable coded as 0 and 1 to represent, for example, females and males, put the number "1" in this cell to get the difference between females and males.
Note that you must have a number in the "Adjusted to X =" cell to get  estimates of the effects of </t>
        </r>
        <r>
          <rPr>
            <sz val="8"/>
            <rFont val="Symbol"/>
            <family val="1"/>
          </rPr>
          <t>D</t>
        </r>
        <r>
          <rPr>
            <sz val="8"/>
            <rFont val="Tahoma"/>
            <family val="2"/>
          </rPr>
          <t>X.  Otherwise the effects shown will be the usual unadjusted changes and difference in changes in the mean.</t>
        </r>
      </text>
    </comment>
    <comment ref="Z35" authorId="1">
      <text>
        <r>
          <rPr>
            <sz val="8"/>
            <rFont val="Tahoma"/>
            <family val="2"/>
          </rPr>
          <t xml:space="preserve">If you leave this cell blank, you get the usual unadjusted effects.  
To adjust the outcome to a certain value of X, insert its value here.  The usual value is the mean of X, but you can explore other values.   The SD of X is shown to guide your exploration!  A dashed line will appear in the figures at the chosen value.  The effect in each group is the value where the dashed line intersects the regression line.  The difference between the effect in each group is the outcome in the tables below. 
If the covariate is a binary variable coded as 0 and 1 to represent, for example, females and males, put 0 in this cell to get the effect for females, 1 to get the effect for males, and 0.5 to get the mean effect for females and males.  Use the value 0.5 for the mean,  even though there may be unequal numbers of males and females in the study.
Note that the individual responses are adjusted for X, too.  So, if there is a substantial effect of X on the outcome, adjusting for X will reduce the individual responses, because it is helping to account for them.
You can also quantify the effect of a difference in X by inserting values for differences in X in the "Show effects for </t>
        </r>
        <r>
          <rPr>
            <sz val="8"/>
            <rFont val="Symbol"/>
            <family val="1"/>
          </rPr>
          <t>D</t>
        </r>
        <r>
          <rPr>
            <sz val="8"/>
            <rFont val="Tahoma"/>
            <family val="2"/>
          </rPr>
          <t>x" cell below.  Read the comment there.</t>
        </r>
      </text>
    </comment>
    <comment ref="Z38" authorId="1">
      <text>
        <r>
          <rPr>
            <sz val="8"/>
            <rFont val="Tahoma"/>
            <family val="2"/>
          </rPr>
          <t xml:space="preserve">If this cell is blank, the effects shown immediately below in the turquiose cells are the usual mean change in the dependent variable in each group (with or without adjustment, depending on whether you have anything in the "Adjusted to X=" cell).  The outcomes further down are the difference of the mean changes.
Insert a value in this cell to estimate the effect of a difference in X on the change in each group (in the turquoise cells) and on the difference in the changes (in the outcomes cells lower down).  The best value to insert is two SDs of X (insert 2x the SD shown in the cell above, not simply the number "2"), because the standardized effects for X are then consistent with Cohen's scale for correlations.  See the page on magnitudes at newstats.org for more on this issue.
If the covariate is a binary variable coded as 0 and 1 to represent, for example, females and males, put the number "1" in this cell to get the difference between females and males.
Note that you must have a number in the "Adjusted to X =" cell to get  estimates of the effects of </t>
        </r>
        <r>
          <rPr>
            <sz val="8"/>
            <rFont val="Symbol"/>
            <family val="1"/>
          </rPr>
          <t>D</t>
        </r>
        <r>
          <rPr>
            <sz val="8"/>
            <rFont val="Tahoma"/>
            <family val="2"/>
          </rPr>
          <t>X.  Otherwise the effects shown will be the usual unadjusted changes and difference in changes in the mean.</t>
        </r>
      </text>
    </comment>
    <comment ref="AP35" authorId="1">
      <text>
        <r>
          <rPr>
            <sz val="8"/>
            <rFont val="Tahoma"/>
            <family val="2"/>
          </rPr>
          <t xml:space="preserve">If you leave this cell blank, you get the usual unadjusted effects.  
To adjust the outcome to a certain value of X, insert its value here.  The usual value is the mean of X, but you can explore other values.   The SD of X is shown to guide your exploration!  A dashed line will appear in the figures at the chosen value.  The effect in each group is the value where the dashed line intersects the regression line.  The difference between the effect in each group is the outcome in the tables below. 
If the covariate is a binary variable coded as 0 and 1 to represent, for example, females and males, put 0 in this cell to get the effect for females, 1 to get the effect for males, and 0.5 to get the mean effect for females and males.  Use the value 0.5 for the mean,  even though there may be unequal numbers of males and females in the study.
Note that the individual responses are adjusted for X, too.  So, if there is a substantial effect of X on the outcome, adjusting for X will reduce the individual responses, because it is helping to account for them.
You can also quantify the effect of a difference in X by inserting values for differences in X in the "Show effects for </t>
        </r>
        <r>
          <rPr>
            <sz val="8"/>
            <rFont val="Symbol"/>
            <family val="1"/>
          </rPr>
          <t>D</t>
        </r>
        <r>
          <rPr>
            <sz val="8"/>
            <rFont val="Tahoma"/>
            <family val="2"/>
          </rPr>
          <t>x" cell below.  Read the comment there.</t>
        </r>
      </text>
    </comment>
    <comment ref="AP38" authorId="1">
      <text>
        <r>
          <rPr>
            <sz val="8"/>
            <rFont val="Tahoma"/>
            <family val="2"/>
          </rPr>
          <t xml:space="preserve">If this cell is blank, the effects shown immediately below in the turquiose cells are the usual mean change in the dependent variable in each group (with or without adjustment, depending on whether you have anything in the "Adjusted to X=" cell).  The outcomes further down are the difference of the mean changes.
Insert a value in this cell to estimate the effect of a difference in X on the change in each group (in the turquoise cells) and on the difference in the changes (in the outcomes cells lower down).  The best value to insert is two SDs of X (insert 2x the SD shown in the cell above, not simply the number "2"), because the standardized effects for X are then consistent with Cohen's scale for correlations.  See the page on magnitudes at newstats.org for more on this issue.
If the covariate is a binary variable coded as 0 and 1 to represent, for example, females and males, put the number "1" in this cell to get the difference between females and males.
Note that you must have a number in the "Adjusted to X =" cell to get  estimates of the effects of </t>
        </r>
        <r>
          <rPr>
            <sz val="8"/>
            <rFont val="Symbol"/>
            <family val="1"/>
          </rPr>
          <t>D</t>
        </r>
        <r>
          <rPr>
            <sz val="8"/>
            <rFont val="Tahoma"/>
            <family val="2"/>
          </rPr>
          <t>X.  Otherwise the effects shown will be the usual unadjusted changes and difference in changes in the mean.</t>
        </r>
      </text>
    </comment>
    <comment ref="AI111" authorId="1">
      <text>
        <r>
          <rPr>
            <sz val="8"/>
            <rFont val="Tahoma"/>
            <family val="2"/>
          </rPr>
          <t>Used as denominator for standardized (Cohen) differences.  If you have more than one pretest, you may want to average their SDs or choose a particular pretest.  Place a "1" in the cells on the right to choose the pretest(s).  
If you insert extra pretests correctly (by copying the 2nd pretest column and inserting it between the 1st and 2nd pretest columns), the functionality of this feature will be retained.</t>
        </r>
      </text>
    </comment>
    <comment ref="B185" authorId="1">
      <text>
        <r>
          <rPr>
            <sz val="8"/>
            <rFont val="Tahoma"/>
            <family val="2"/>
          </rPr>
          <t>The qualitative probabilities are defined by the following scale:
&lt;0.5%, almost certainly not
&lt;5%, very unlikely
&lt;25%, unlikely, probably not
25-75%, possibly, possibly not
&gt;75%, likely, probably
&gt;95%, very likely
&gt;99.5%, almost certainly</t>
        </r>
      </text>
    </comment>
    <comment ref="I135" authorId="1">
      <text>
        <r>
          <rPr>
            <sz val="8"/>
            <rFont val="Tahoma"/>
            <family val="2"/>
          </rPr>
          <t>The qualitative probabilities are defined by the following scale:
&lt;0.5%, almost certainly not
&lt;5%, very unlikely
&lt;25%, unlikely, probably not
25-75%, possibly, possibly not
&gt;75%, likely, probably
&gt;95%, very likely
&gt;99.5%, almost certainly</t>
        </r>
      </text>
    </comment>
    <comment ref="I185" authorId="1">
      <text>
        <r>
          <rPr>
            <sz val="8"/>
            <rFont val="Tahoma"/>
            <family val="2"/>
          </rPr>
          <t>The qualitative probabilities are defined by the following scale:
&lt;0.5%, almost certainly not
&lt;5%, very unlikely
&lt;25%, unlikely, probably not
25-75%, possibly, possibly not
&gt;75%, likely, probably
&gt;95%, very likely
&gt;99.5%, almost certainly</t>
        </r>
      </text>
    </comment>
    <comment ref="R135" authorId="1">
      <text>
        <r>
          <rPr>
            <sz val="8"/>
            <rFont val="Tahoma"/>
            <family val="2"/>
          </rPr>
          <t>The qualitative probabilities are defined by the following scale:
&lt;0.5%, almost certainly not
&lt;5%, very unlikely
&lt;25%, unlikely, probably not
25-75%, possibly, possibly not
&gt;75%, likely, probably
&gt;95%, very likely
&gt;99.5%, almost certainly</t>
        </r>
      </text>
    </comment>
    <comment ref="Y135" authorId="1">
      <text>
        <r>
          <rPr>
            <sz val="8"/>
            <rFont val="Tahoma"/>
            <family val="2"/>
          </rPr>
          <t>The qualitative probabilities are defined by the following scale:
&lt;0.5%, almost certainly not
&lt;5%, very unlikely
&lt;25%, unlikely, probably not
25-75%, possibly, possibly not
&gt;75%, likely, probably
&gt;95%, very likely
&gt;99.5%, almost certainly</t>
        </r>
      </text>
    </comment>
    <comment ref="R185" authorId="1">
      <text>
        <r>
          <rPr>
            <sz val="8"/>
            <rFont val="Tahoma"/>
            <family val="2"/>
          </rPr>
          <t>The qualitative probabilities are defined by the following scale:
&lt;0.5%, almost certainly not
&lt;5%, very unlikely
&lt;25%, unlikely, probably not
25-75%, possibly, possibly not
&gt;75%, likely, probably
&gt;95%, very likely
&gt;99.5%, almost certainly</t>
        </r>
      </text>
    </comment>
    <comment ref="Y185" authorId="1">
      <text>
        <r>
          <rPr>
            <sz val="8"/>
            <rFont val="Tahoma"/>
            <family val="2"/>
          </rPr>
          <t>The qualitative probabilities are defined by the following scale:
&lt;0.5%, almost certainly not
&lt;5%, very unlikely
&lt;25%, unlikely, probably not
25-75%, possibly, possibly not
&gt;75%, likely, probably
&gt;95%, very likely
&gt;99.5%, almost certainly</t>
        </r>
      </text>
    </comment>
    <comment ref="R160" authorId="1">
      <text>
        <r>
          <rPr>
            <sz val="8"/>
            <rFont val="Tahoma"/>
            <family val="2"/>
          </rPr>
          <t>The qualitative probabilities are defined by the following scale:
&lt;0.5%, almost certainly not
&lt;5%, very unlikely
&lt;25%, unlikely, probably not
25-75%, possibly, possibly not
&gt;75%, likely, probably
&gt;95%, very likely
&gt;99.5%, almost certainly</t>
        </r>
      </text>
    </comment>
    <comment ref="Y160" authorId="1">
      <text>
        <r>
          <rPr>
            <sz val="8"/>
            <rFont val="Tahoma"/>
            <family val="2"/>
          </rPr>
          <t>The qualitative probabilities are defined by the following scale:
&lt;0.5%, almost certainly not
&lt;5%, very unlikely
&lt;25%, unlikely, probably not
25-75%, possibly, possibly not
&gt;75%, likely, probably
&gt;95%, very likely
&gt;99.5%, almost certainly</t>
        </r>
      </text>
    </comment>
    <comment ref="R209" authorId="1">
      <text>
        <r>
          <rPr>
            <sz val="8"/>
            <rFont val="Tahoma"/>
            <family val="2"/>
          </rPr>
          <t>The qualitative probabilities are defined by the following scale:
&lt;0.5%, almost certainly not
&lt;5%, very unlikely
&lt;25%, unlikely, probably not
25-75%, possibly, possibly not
&gt;75%, likely, probably
&gt;95%, very likely
&gt;99.5
%, almost certainly</t>
        </r>
      </text>
    </comment>
    <comment ref="AO158" authorId="1">
      <text>
        <r>
          <rPr>
            <sz val="8"/>
            <rFont val="Tahoma"/>
            <family val="2"/>
          </rPr>
          <t xml:space="preserve">The value shown is the back-transform of the Cohen (standardized) threshold at the chosen value.
You can insert what you think are the smallest worthwhile changes at the chosen raw value.  Put a positive value in the upper cell and a negative value in the lower cell.
</t>
        </r>
      </text>
    </comment>
    <comment ref="AH160" authorId="1">
      <text>
        <r>
          <rPr>
            <sz val="8"/>
            <rFont val="Tahoma"/>
            <family val="2"/>
          </rPr>
          <t>The qualitative probabilities are defined by the following scale:
&lt;0.5%, almost certainly not
&lt;5%, very unlikely
&lt;25%, unlikely, probably not
25-75%, possibly, possibly not
&gt;75%, likely, probably
&gt;95%, very likely
&gt;99.5%, almost certainly</t>
        </r>
      </text>
    </comment>
    <comment ref="AO160" authorId="1">
      <text>
        <r>
          <rPr>
            <sz val="8"/>
            <rFont val="Tahoma"/>
            <family val="2"/>
          </rPr>
          <t>The qualitative probabilities are defined by the following scale:
&lt;0.5%, almost certainly not
&lt;5%, very unlikely
&lt;25%, unlikely, probably not
25-75%, possibly, possibly not
&gt;75%, likely, probably
&gt;95%, very likely
&gt;99.5%, almost certainly</t>
        </r>
      </text>
    </comment>
    <comment ref="AH185" authorId="1">
      <text>
        <r>
          <rPr>
            <sz val="8"/>
            <rFont val="Tahoma"/>
            <family val="2"/>
          </rPr>
          <t>The qualitative probabilities are defined by the following scale:
&lt;0.5%, almost certainly not
&lt;5%, very unlikely
&lt;25%, unlikely, probably not
25-75%, possibly, possibly not
&gt;75%, likely, probably
&gt;95%, very likely
&gt;99.5%, almost certainly</t>
        </r>
      </text>
    </comment>
    <comment ref="AO185" authorId="1">
      <text>
        <r>
          <rPr>
            <sz val="8"/>
            <rFont val="Tahoma"/>
            <family val="2"/>
          </rPr>
          <t>The qualitative probabilities are defined by the following scale:
&lt;0.5%, almost certainly not
&lt;5%, very unlikely
&lt;25%, unlikely, probably not
25-75%, possibly, possibly not
&gt;75%, likely, probably
&gt;95%, very likely
&gt;99.5%, almost certainly</t>
        </r>
      </text>
    </comment>
    <comment ref="AH209" authorId="1">
      <text>
        <r>
          <rPr>
            <sz val="8"/>
            <rFont val="Tahoma"/>
            <family val="2"/>
          </rPr>
          <t>The qualitative probabilities are defined by the following scale:
&lt;0.5%, almost certainly not
&lt;5%, very unlikely
&lt;25%, unlikely, probably not
25-75%, possibly, possibly not
&gt;75%, likely, probably
&gt;95%, very likely
&gt;99.5
%, almost certainly</t>
        </r>
      </text>
    </comment>
    <comment ref="D133" authorId="1">
      <text>
        <r>
          <rPr>
            <sz val="9"/>
            <rFont val="Tahoma"/>
            <family val="2"/>
          </rPr>
          <t xml:space="preserve">You are not usually interested in an inference about the difference in the mean value of the covariate between the control and experimental groups.  If you do want such an inference, you will have to insert a positive value for the smallest important difference for the X variable in this cell, and a negative value in the cell below this cell. Or simply go with the standardized difference of 0.20 in the panel below this panel.  You will be provided with only a mechanistic inference. </t>
        </r>
      </text>
    </comment>
    <comment ref="B27" authorId="1">
      <text>
        <r>
          <rPr>
            <sz val="9"/>
            <rFont val="Tahoma"/>
            <family val="2"/>
          </rPr>
          <t>The value can be positive or negative.  
It is rare to work with the raw values of a variable when making inferences.  One possible exampe is a variable representing a Likert scale. Half a step on the scale is arguably the smallest important difference, because there is a sense in which it is the smallest perceptible difference.  So, if it is a 1-7 Likert pain scale, enter 0.5 as the smallest harmful effect.  If it is a 1-7 Likert energy scale, enter -0.5 as the smallest harmful effect.
Even so, standardization is usually the approach to smallest effects with Likert scales and other psychometrics.</t>
        </r>
      </text>
    </comment>
    <comment ref="B28" authorId="1">
      <text>
        <r>
          <rPr>
            <sz val="9"/>
            <rFont val="Tahoma"/>
            <family val="2"/>
          </rPr>
          <t xml:space="preserve">The value can be positive or negative, dependong on whether an increase is harmful or beneficial repsectively. Do not add a % sign.
A typcal value here for competitive athletic performance in a time trial could be a fraction of 1% (e.g., 0.25 for a track runner). </t>
        </r>
      </text>
    </comment>
    <comment ref="B29" authorId="1">
      <text>
        <r>
          <rPr>
            <sz val="9"/>
            <rFont val="Tahoma"/>
            <family val="2"/>
          </rPr>
          <t>The value here can be positive only, and is usually close to 1.0.  A typical smallest effect for the rate of something is a factor of 1.10, or a 10% increase.  So, enter 1.10 if a 10% increase is harmful.  If a factor decrease of the same magnitude is harmful, enter "=1/1.10" or 0.91.  
You get the same answers with factor effects as with percent effects, but when percents get large, it is easier to work with factors.  Also -10% is not quite the same as 1/1.10, and the difference gets bigger for larger percents.</t>
        </r>
      </text>
    </comment>
    <comment ref="D34" authorId="1">
      <text>
        <r>
          <rPr>
            <sz val="9"/>
            <rFont val="Tahoma"/>
            <family val="2"/>
          </rPr>
          <t>Be aware that, the more inferences you make, the greater is the chance that you will make an error with at least one of them.  You can constrain the increase in error rate by inserting the number of independent inferences here.  Note that multiple inferences in a study are generally not independent; that is, if you make an error with one inference, there will be an increased chance that you will make an error with the others.  The approach here is therefore only approximate but generally more conservative than it needs to be, akin to the Bonferroni adjustment to make the alpha level smaller for statistical significance.
For multiple mechanistic inferences, the overall error is simply the chance that at least one of the true values is outside the confidence interval.  By making a wider confidence interval for two inferences (95% rather than 90%),  the chance that either true value is outside its interval goes down to 5% (from 10%), so the overall chance that one or both of them is outside is still only 5%+5% = 10% (more exactly, it's 100*(1-(1-0.05)^2) = 9.75%).    
For clinical inferences, there are two kinds of error:  Type 1, when you decide to use an effect that is actually harmful; and Type 2, when you decide not to use an effect that is actually beneficial.  My default values for these errors are 0.5% and 25%.  For two inferences, halving these values keeps the overall error rate at 0.5% and 25% for the worst-case scenario of the true values of both effects being the smallest clinically important values. 
The price you pay for being conservative with multiple inferences is an increase in the chance that you will have to declare effects unclear. The best way around this problem is to increase the sample size.  You can also be conservative more efficiently by adding up the chances of harm for the effects that you would declare beneficial or useful on their own.  If the sum is less than 0.5%, you can declare them all useful.  If the harm exceeds 0.5%, you have to declare one or more of them unclear.  Similarly, add up the chances of benefit for the effects that you would declare not to be beneficial or useful on their own. If the sum of the benefit is greater than 25% and the sum of their harm and the harm of any other beneficial effects is less than 0.5%, opt to use all of them and you will keep the overall Type 2 rate below 25%.  If the sum of harm exceeds 0.5%, some effects will have to be declared unclear (even though on their own they are clearly not beneficial or useful).</t>
        </r>
      </text>
    </comment>
    <comment ref="R176" authorId="0">
      <text>
        <r>
          <rPr>
            <sz val="8"/>
            <rFont val="Tahoma"/>
            <family val="2"/>
          </rPr>
          <t xml:space="preserve">When assessing the balance of assignment to the groups, interpret the magnitude of the observed difference, but do not use the confidence limits or chances to make an inference about the population or true difference.  (It doesn't make sense to.)
</t>
        </r>
      </text>
    </comment>
    <comment ref="B176" authorId="0">
      <text>
        <r>
          <rPr>
            <sz val="8"/>
            <rFont val="Tahoma"/>
            <family val="2"/>
          </rPr>
          <t xml:space="preserve">When assessing the balance of assignment to the groups, interpret the magnitude of the observed difference, but do not use the confidence limits or chances to make an inference about the population or true difference.  (It doesn't make sense to.)
</t>
        </r>
      </text>
    </comment>
    <comment ref="D35" authorId="1">
      <text>
        <r>
          <rPr>
            <sz val="9"/>
            <rFont val="Tahoma"/>
            <family val="2"/>
          </rPr>
          <t>The maximum risk of harm and minimum chance of benefit (for making decisions about effects with clinical or practical relevance) are tied to this confidence level.</t>
        </r>
      </text>
    </comment>
    <comment ref="D36" authorId="1">
      <text>
        <r>
          <rPr>
            <sz val="9"/>
            <rFont val="Tahoma"/>
            <family val="2"/>
          </rPr>
          <t>Don't use an effect if its chance of harm exceeds this value. (And if the chance of benefit exceeds the value in the cell below, the effect has to be declared "unclear".)</t>
        </r>
      </text>
    </comment>
    <comment ref="D37" authorId="1">
      <text>
        <r>
          <rPr>
            <sz val="9"/>
            <rFont val="Tahoma"/>
            <family val="2"/>
          </rPr>
          <t>Consider using an effect if its chance of benefit exceeds this value.  Use it if its chance of harm is less than in the cell above; otherwise you have to declare it "unclear".</t>
        </r>
      </text>
    </comment>
    <comment ref="D38" authorId="1">
      <text>
        <r>
          <rPr>
            <sz val="9"/>
            <rFont val="Tahoma"/>
            <family val="2"/>
          </rPr>
          <t>Regardless of the risk of harm and chance of benefit, deciding to use an effect if the odds ratio exceeds this value is a less conservative approach to making a clinical or practical decision.</t>
        </r>
      </text>
    </comment>
    <comment ref="C113" authorId="1">
      <text>
        <r>
          <rPr>
            <sz val="8"/>
            <rFont val="Tahoma"/>
            <family val="2"/>
          </rPr>
          <t>The mean SD of the pretests indicated by "1"s in the above row.  The mean is obtained by averaging the variances and taking the square root.  Show this value in any publication as the SD used for standardizing.</t>
        </r>
      </text>
    </comment>
    <comment ref="C115" authorId="1">
      <text>
        <r>
          <rPr>
            <sz val="9"/>
            <rFont val="Tahoma"/>
            <family val="2"/>
          </rPr>
          <t>This is the value used in the calculation of the standardized effects.  It is the SD above divided by (1-3/(4v-1)) to remove the small-sample bias in the estimates of standardized effects.  v is the degrees of freedom for the SD, here approximated by the mean pretest sample size -1.</t>
        </r>
      </text>
    </comment>
    <comment ref="S113" authorId="1">
      <text>
        <r>
          <rPr>
            <sz val="8"/>
            <rFont val="Tahoma"/>
            <family val="2"/>
          </rPr>
          <t>The mean SD of the pretests indicated by "1"s in the above row.  The mean is obtained by averaging the variances and taking the square root.  Show this value in any publication as the SD used for standardizing.</t>
        </r>
      </text>
    </comment>
    <comment ref="S115" authorId="1">
      <text>
        <r>
          <rPr>
            <sz val="9"/>
            <rFont val="Tahoma"/>
            <family val="2"/>
          </rPr>
          <t>This is the value used in the calculation of the standardized effects.  It is the SD above divided by (1-3/(4v-1)) to remove the small-sample bias in the estimates of standardized effects.  v is the degrees of freedom for the SD, here approximated by the mean pretest sample size -1.</t>
        </r>
      </text>
    </comment>
    <comment ref="AI115" authorId="1">
      <text>
        <r>
          <rPr>
            <sz val="9"/>
            <rFont val="Tahoma"/>
            <family val="2"/>
          </rPr>
          <t>This is the value used in the calculation of the standardized effects.  It is the SD above divided by (1-3/(4v-1)) to remove the small-sample bias in the estimates of standardized effects.  v is the degrees of freedom for the SD, here approximated by the mean pretest sample size -1.</t>
        </r>
      </text>
    </comment>
    <comment ref="AI113" authorId="1">
      <text>
        <r>
          <rPr>
            <sz val="8"/>
            <rFont val="Tahoma"/>
            <family val="2"/>
          </rPr>
          <t xml:space="preserve">The mean SD of the pretests indicated by "1"s in the above row.  The mean is obtained by averaging the variances and taking the square root.  </t>
        </r>
      </text>
    </comment>
    <comment ref="AI114" authorId="1">
      <text>
        <r>
          <rPr>
            <sz val="9"/>
            <rFont val="Tahoma"/>
            <family val="2"/>
          </rPr>
          <t>The above SD, back-transformed to a typical deviation evaluated at the baseline mean.  Show this value in any publication as the SD used for standardizing.</t>
        </r>
      </text>
    </comment>
    <comment ref="C2" authorId="1">
      <text>
        <r>
          <rPr>
            <sz val="8"/>
            <rFont val="Tahoma"/>
            <family val="2"/>
          </rPr>
          <t>Hopkins WG (2006).  Spreadsheets for analysis of controlled trials with adjustment for a predictor. Sportscience 10, 46-50 (sportsci.org/2006/wghcontrial.htm).</t>
        </r>
      </text>
    </comment>
    <comment ref="H2" authorId="2">
      <text>
        <r>
          <rPr>
            <sz val="8"/>
            <rFont val="Tahoma"/>
            <family val="2"/>
          </rPr>
          <t>Nov: Removed p values!
July: added display of standardized thresholds in raw, percent and factor units.</t>
        </r>
      </text>
    </comment>
    <comment ref="I2" authorId="2">
      <text>
        <r>
          <rPr>
            <sz val="8"/>
            <rFont val="Tahoma"/>
            <family val="2"/>
          </rPr>
          <t>In mid- 2011 I added the grids of cells for threshold values and multiple inferences.</t>
        </r>
      </text>
    </comment>
    <comment ref="G2" authorId="0">
      <text>
        <r>
          <rPr>
            <sz val="8"/>
            <rFont val="Tahoma"/>
            <family val="2"/>
          </rPr>
          <t>Oct: corrected approx ± form of confidence limits for percent effects.</t>
        </r>
      </text>
    </comment>
  </commentList>
</comments>
</file>

<file path=xl/sharedStrings.xml><?xml version="1.0" encoding="utf-8"?>
<sst xmlns="http://schemas.openxmlformats.org/spreadsheetml/2006/main" count="754" uniqueCount="235">
  <si>
    <t>Name</t>
  </si>
  <si>
    <t>Sam</t>
  </si>
  <si>
    <t>mean</t>
  </si>
  <si>
    <t>SD</t>
  </si>
  <si>
    <t>Raw Data</t>
  </si>
  <si>
    <t>Log-transformed Data</t>
  </si>
  <si>
    <t>back-transformed mean</t>
  </si>
  <si>
    <t>SD as a CV (%)</t>
  </si>
  <si>
    <r>
      <t xml:space="preserve">SD as </t>
    </r>
    <r>
      <rPr>
        <sz val="10"/>
        <rFont val="Symbol"/>
        <family val="1"/>
      </rPr>
      <t>´¤¸</t>
    </r>
    <r>
      <rPr>
        <sz val="10"/>
        <rFont val="Arial"/>
        <family val="2"/>
      </rPr>
      <t xml:space="preserve"> factor</t>
    </r>
  </si>
  <si>
    <t xml:space="preserve">lower </t>
  </si>
  <si>
    <t xml:space="preserve">upper </t>
  </si>
  <si>
    <t xml:space="preserve"> "±"</t>
  </si>
  <si>
    <t>trivial</t>
  </si>
  <si>
    <t>+ ive</t>
  </si>
  <si>
    <t>- ive</t>
  </si>
  <si>
    <t>Chances (% and qualitative) that the true value of the statistic is clinically, practically or mechanistially…</t>
  </si>
  <si>
    <t>Outcomes in raw units</t>
  </si>
  <si>
    <t>Outcomes as factors</t>
  </si>
  <si>
    <t>Outcomes as percents</t>
  </si>
  <si>
    <t>Outcomes in log units</t>
  </si>
  <si>
    <t>Outcomes in rank units</t>
  </si>
  <si>
    <t>Group</t>
  </si>
  <si>
    <t>Control</t>
  </si>
  <si>
    <t>Exptal</t>
  </si>
  <si>
    <t>other effect</t>
  </si>
  <si>
    <r>
      <t xml:space="preserve"> "</t>
    </r>
    <r>
      <rPr>
        <sz val="11"/>
        <rFont val="Symbol"/>
        <family val="1"/>
      </rPr>
      <t>´¤¸</t>
    </r>
    <r>
      <rPr>
        <sz val="10"/>
        <rFont val="Arial"/>
        <family val="2"/>
      </rPr>
      <t xml:space="preserve">" </t>
    </r>
  </si>
  <si>
    <t>transformed SD</t>
  </si>
  <si>
    <t>pre-test SD for Cohen</t>
  </si>
  <si>
    <t xml:space="preserve">    Double-click on one of the mean or SD cells to check that you have done this operation properly.  Colored boxes should enclose all your data.</t>
  </si>
  <si>
    <t>Chris</t>
  </si>
  <si>
    <t>Courtney</t>
  </si>
  <si>
    <t>Drew</t>
  </si>
  <si>
    <t>Jo</t>
  </si>
  <si>
    <t>Jesse</t>
  </si>
  <si>
    <t>Kelly</t>
  </si>
  <si>
    <t>Kerry</t>
  </si>
  <si>
    <t>Lee</t>
  </si>
  <si>
    <t>Leslie</t>
  </si>
  <si>
    <t>Morgan</t>
  </si>
  <si>
    <t>Robin</t>
  </si>
  <si>
    <t>Alex</t>
  </si>
  <si>
    <t>Kim</t>
  </si>
  <si>
    <t>Pat</t>
  </si>
  <si>
    <t>Dylan</t>
  </si>
  <si>
    <t>typical deviation</t>
  </si>
  <si>
    <t>Difference in group means in raw units</t>
  </si>
  <si>
    <t>Ratio of group SDs</t>
  </si>
  <si>
    <t>read
me</t>
  </si>
  <si>
    <t>Outcomes at a chosen raw value</t>
  </si>
  <si>
    <t>n</t>
  </si>
  <si>
    <t>Percentile Rank-transformed Data</t>
  </si>
  <si>
    <r>
      <t xml:space="preserve">Replace values of the cells in </t>
    </r>
    <r>
      <rPr>
        <b/>
        <sz val="10"/>
        <color indexed="12"/>
        <rFont val="Arial"/>
        <family val="2"/>
      </rPr>
      <t>blue.</t>
    </r>
    <r>
      <rPr>
        <sz val="10"/>
        <color indexed="12"/>
        <rFont val="Arial"/>
        <family val="2"/>
      </rPr>
      <t xml:space="preserve">  </t>
    </r>
    <r>
      <rPr>
        <sz val="10"/>
        <rFont val="Arial"/>
        <family val="2"/>
      </rPr>
      <t>Useful sta</t>
    </r>
    <r>
      <rPr>
        <sz val="10"/>
        <rFont val="Arial"/>
        <family val="0"/>
      </rPr>
      <t xml:space="preserve">tistics are in </t>
    </r>
    <r>
      <rPr>
        <b/>
        <sz val="10"/>
        <color indexed="10"/>
        <rFont val="Arial"/>
        <family val="2"/>
      </rPr>
      <t>red</t>
    </r>
    <r>
      <rPr>
        <sz val="10"/>
        <rFont val="Arial"/>
        <family val="2"/>
      </rPr>
      <t>. Don't touch these cells or cells with values in black.</t>
    </r>
  </si>
  <si>
    <t>Diff. in mean in pretest:</t>
  </si>
  <si>
    <t>Effects</t>
  </si>
  <si>
    <t>Trials</t>
  </si>
  <si>
    <t>Log units</t>
  </si>
  <si>
    <t>Percent units</t>
  </si>
  <si>
    <t>SD as CV (%)</t>
  </si>
  <si>
    <r>
      <t xml:space="preserve"> "</t>
    </r>
    <r>
      <rPr>
        <sz val="11"/>
        <rFont val="Symbol"/>
        <family val="1"/>
      </rPr>
      <t>´¤¸</t>
    </r>
    <r>
      <rPr>
        <sz val="10"/>
        <rFont val="Arial"/>
        <family val="2"/>
      </rPr>
      <t>" approx.</t>
    </r>
  </si>
  <si>
    <t>Factor units</t>
  </si>
  <si>
    <t>SD as factor</t>
  </si>
  <si>
    <t>Cohen units</t>
  </si>
  <si>
    <t>Error of measure-ment for control gp</t>
  </si>
  <si>
    <t>Raw units</t>
  </si>
  <si>
    <t>Percentile rank-transformed units</t>
  </si>
  <si>
    <r>
      <t xml:space="preserve">If you have </t>
    </r>
    <r>
      <rPr>
        <b/>
        <sz val="10"/>
        <rFont val="Arial"/>
        <family val="2"/>
      </rPr>
      <t>three or more groups</t>
    </r>
    <r>
      <rPr>
        <sz val="10"/>
        <rFont val="Arial"/>
        <family val="0"/>
      </rPr>
      <t>, use a whole new sheet for each pairwise comparison.</t>
    </r>
  </si>
  <si>
    <t>Difference in group means in log units</t>
  </si>
  <si>
    <t>Difference in group means in rank units</t>
  </si>
  <si>
    <t xml:space="preserve"> "±" approx.</t>
  </si>
  <si>
    <t>At a chosen raw value</t>
  </si>
  <si>
    <t>SE</t>
  </si>
  <si>
    <t>Post2-Post1</t>
  </si>
  <si>
    <t xml:space="preserve">    If you include the first row, you will corrupt the background calculations.  You can delete or clear the first row, though. </t>
  </si>
  <si>
    <r>
      <t>Missing values</t>
    </r>
    <r>
      <rPr>
        <sz val="10"/>
        <rFont val="Arial"/>
        <family val="0"/>
      </rPr>
      <t xml:space="preserve"> can be blanks, periods, or any non-numeric character(s). The effects columns have code to prevent blanks being treated as zeros.</t>
    </r>
  </si>
  <si>
    <t xml:space="preserve">    Get the formula right in the first subject's cell, including the code to fix missing values.  Drag down the formula to the other subjects.</t>
  </si>
  <si>
    <t>deg. freedom</t>
  </si>
  <si>
    <t>Pre2-Pre1</t>
  </si>
  <si>
    <t>Post1-Pre2</t>
  </si>
  <si>
    <t>Post2-Pre2</t>
  </si>
  <si>
    <t>Kylie</t>
  </si>
  <si>
    <t>Lauren</t>
  </si>
  <si>
    <t>Lindsay</t>
  </si>
  <si>
    <t>Reilly</t>
  </si>
  <si>
    <t>Sage</t>
  </si>
  <si>
    <t>Sidney</t>
  </si>
  <si>
    <t>Terry</t>
  </si>
  <si>
    <t>Tristan</t>
  </si>
  <si>
    <t>Vic</t>
  </si>
  <si>
    <t>Wynn</t>
  </si>
  <si>
    <t>Zane</t>
  </si>
  <si>
    <t>Ariel</t>
  </si>
  <si>
    <t>Ashley</t>
  </si>
  <si>
    <t>Bernie</t>
  </si>
  <si>
    <t>Casey</t>
  </si>
  <si>
    <t>Corey</t>
  </si>
  <si>
    <t>Devon</t>
  </si>
  <si>
    <t>Frances</t>
  </si>
  <si>
    <t>Gene</t>
  </si>
  <si>
    <t>Jaimie</t>
  </si>
  <si>
    <t>Jean</t>
  </si>
  <si>
    <t xml:space="preserve">Jody </t>
  </si>
  <si>
    <t>Jordan</t>
  </si>
  <si>
    <t>Percentile Rank-transformed</t>
  </si>
  <si>
    <r>
      <t xml:space="preserve"> "</t>
    </r>
    <r>
      <rPr>
        <sz val="11"/>
        <color indexed="23"/>
        <rFont val="Symbol"/>
        <family val="1"/>
      </rPr>
      <t>´¤¸</t>
    </r>
    <r>
      <rPr>
        <sz val="10"/>
        <color indexed="23"/>
        <rFont val="Arial"/>
        <family val="2"/>
      </rPr>
      <t xml:space="preserve">" </t>
    </r>
  </si>
  <si>
    <t>Choose pretest SDs for Cohen</t>
  </si>
  <si>
    <t>X</t>
  </si>
  <si>
    <t>Pretest SDs included in Cohen</t>
  </si>
  <si>
    <t>Adjusted to X =</t>
  </si>
  <si>
    <t>Wil</t>
  </si>
  <si>
    <t>Grand max</t>
  </si>
  <si>
    <t>Grand min</t>
  </si>
  <si>
    <t>Both groups combined:</t>
  </si>
  <si>
    <t>Mean X</t>
  </si>
  <si>
    <t>SD X</t>
  </si>
  <si>
    <r>
      <t xml:space="preserve">Show effects for </t>
    </r>
    <r>
      <rPr>
        <b/>
        <sz val="10"/>
        <rFont val="Symbol"/>
        <family val="1"/>
      </rPr>
      <t>D</t>
    </r>
    <r>
      <rPr>
        <b/>
        <sz val="10"/>
        <rFont val="Arial"/>
        <family val="2"/>
      </rPr>
      <t>X =</t>
    </r>
  </si>
  <si>
    <r>
      <t xml:space="preserve">mean, or effect of </t>
    </r>
    <r>
      <rPr>
        <sz val="10"/>
        <rFont val="Symbol"/>
        <family val="1"/>
      </rPr>
      <t>D</t>
    </r>
    <r>
      <rPr>
        <sz val="10"/>
        <rFont val="Arial"/>
        <family val="2"/>
      </rPr>
      <t>X</t>
    </r>
  </si>
  <si>
    <t>SD, or SEE</t>
  </si>
  <si>
    <t>SE of effect</t>
  </si>
  <si>
    <r>
      <t xml:space="preserve">mean or effect of </t>
    </r>
    <r>
      <rPr>
        <sz val="10"/>
        <rFont val="Symbol"/>
        <family val="1"/>
      </rPr>
      <t>D</t>
    </r>
    <r>
      <rPr>
        <sz val="10"/>
        <rFont val="Arial"/>
        <family val="0"/>
      </rPr>
      <t>X (%)</t>
    </r>
  </si>
  <si>
    <r>
      <t xml:space="preserve">mean or effect of </t>
    </r>
    <r>
      <rPr>
        <sz val="10"/>
        <rFont val="Symbol"/>
        <family val="1"/>
      </rPr>
      <t>D</t>
    </r>
    <r>
      <rPr>
        <sz val="10"/>
        <rFont val="Arial"/>
        <family val="2"/>
      </rPr>
      <t>X as factor</t>
    </r>
  </si>
  <si>
    <t>SD or SEE as a CV (%)</t>
  </si>
  <si>
    <r>
      <t xml:space="preserve">SD or SEE as </t>
    </r>
    <r>
      <rPr>
        <sz val="10"/>
        <rFont val="Symbol"/>
        <family val="1"/>
      </rPr>
      <t>´¤¸</t>
    </r>
    <r>
      <rPr>
        <sz val="10"/>
        <rFont val="Arial"/>
        <family val="2"/>
      </rPr>
      <t xml:space="preserve"> factor</t>
    </r>
  </si>
  <si>
    <t>Means for default chosen raw value</t>
  </si>
  <si>
    <t>Mean of these means</t>
  </si>
  <si>
    <t>degrees of freedom</t>
  </si>
  <si>
    <t>Diff. in changes in mean:</t>
  </si>
  <si>
    <r>
      <t>Hover cursor</t>
    </r>
    <r>
      <rPr>
        <sz val="10"/>
        <rFont val="Arial"/>
        <family val="0"/>
      </rPr>
      <t xml:space="preserve"> for comment on </t>
    </r>
    <r>
      <rPr>
        <b/>
        <sz val="10"/>
        <rFont val="Arial"/>
        <family val="2"/>
      </rPr>
      <t>individual responses</t>
    </r>
    <r>
      <rPr>
        <sz val="10"/>
        <rFont val="Arial"/>
        <family val="0"/>
      </rPr>
      <t>.</t>
    </r>
  </si>
  <si>
    <r>
      <t xml:space="preserve">You may change cells in </t>
    </r>
    <r>
      <rPr>
        <b/>
        <sz val="10"/>
        <color indexed="20"/>
        <rFont val="Arial"/>
        <family val="2"/>
      </rPr>
      <t>plum</t>
    </r>
    <r>
      <rPr>
        <sz val="10"/>
        <rFont val="Arial"/>
        <family val="2"/>
      </rPr>
      <t xml:space="preserve"> to see the effect on whatever, but remember to "control-z" or otherwise undo to restore the formulae in these cells.</t>
    </r>
  </si>
  <si>
    <t>SD for Cohen</t>
  </si>
  <si>
    <t>n for all observations</t>
  </si>
  <si>
    <t>Difference in group means as percents</t>
  </si>
  <si>
    <t>Difference in group means as factors</t>
  </si>
  <si>
    <t xml:space="preserve">     You will have to copy and insert a new column in the same relative place into any transformed data you use.  The transformation will be automatic.</t>
  </si>
  <si>
    <r>
      <t>Do NOT use cut (Ctrl+X) or drag to replace or move data</t>
    </r>
    <r>
      <rPr>
        <sz val="10"/>
        <rFont val="Arial"/>
        <family val="2"/>
      </rPr>
      <t xml:space="preserve">. Instead, </t>
    </r>
    <r>
      <rPr>
        <b/>
        <sz val="10"/>
        <rFont val="Arial"/>
        <family val="2"/>
      </rPr>
      <t>copy (Ctrl+C), then paste (Ctrl+V)</t>
    </r>
    <r>
      <rPr>
        <sz val="10"/>
        <rFont val="Arial"/>
        <family val="2"/>
      </rPr>
      <t xml:space="preserve"> onto existing data or into blank cells.</t>
    </r>
  </si>
  <si>
    <r>
      <t xml:space="preserve">To insert a new column for an </t>
    </r>
    <r>
      <rPr>
        <b/>
        <sz val="10"/>
        <rFont val="Arial"/>
        <family val="2"/>
      </rPr>
      <t>extra effect</t>
    </r>
    <r>
      <rPr>
        <sz val="10"/>
        <rFont val="Arial"/>
        <family val="2"/>
      </rPr>
      <t xml:space="preserve">, </t>
    </r>
    <r>
      <rPr>
        <b/>
        <sz val="10"/>
        <rFont val="Arial"/>
        <family val="2"/>
      </rPr>
      <t>copy and insert</t>
    </r>
    <r>
      <rPr>
        <sz val="10"/>
        <rFont val="Arial"/>
        <family val="2"/>
      </rPr>
      <t xml:space="preserve"> an existing effect column (but </t>
    </r>
    <r>
      <rPr>
        <b/>
        <sz val="10"/>
        <rFont val="Arial"/>
        <family val="2"/>
      </rPr>
      <t>not the Pre2-Pre1 column</t>
    </r>
    <r>
      <rPr>
        <sz val="10"/>
        <rFont val="Arial"/>
        <family val="2"/>
      </rPr>
      <t>), then…</t>
    </r>
  </si>
  <si>
    <t xml:space="preserve">    Copy and paste the new raw effect cells directly into the corresponding effect cells for any transformation you use.</t>
  </si>
  <si>
    <t>Insertion or deletion of rows or columns corrupts the size of some comment boxes, thanks to a bug in the software.  See Bill Gates for an explanation.</t>
  </si>
  <si>
    <t>Confidence limits</t>
  </si>
  <si>
    <t>Indiv. responses as SD</t>
  </si>
  <si>
    <t>Threshold for clinical chances</t>
  </si>
  <si>
    <t>Difference in means</t>
  </si>
  <si>
    <t>Degrees of freedom</t>
  </si>
  <si>
    <t>Confidence level (%)</t>
  </si>
  <si>
    <t>Confidence
limits (approx.)</t>
  </si>
  <si>
    <t>Indiv. responses as CV (%)</t>
  </si>
  <si>
    <t>Difference in means (%)</t>
  </si>
  <si>
    <t>Diff. in means as factor</t>
  </si>
  <si>
    <t>Confidence
limits</t>
  </si>
  <si>
    <t>Indiv. responses as SD factor</t>
  </si>
  <si>
    <t>Chosen value</t>
  </si>
  <si>
    <t>SD Cohenized</t>
  </si>
  <si>
    <t>Raw SD</t>
  </si>
  <si>
    <t>Approx. SD in raw units</t>
  </si>
  <si>
    <t>Transformed SD</t>
  </si>
  <si>
    <t>Ratio SDexptal / SDcontrol</t>
  </si>
  <si>
    <t>Threshold ratio for</t>
  </si>
  <si>
    <r>
      <t xml:space="preserve">If you have </t>
    </r>
    <r>
      <rPr>
        <b/>
        <sz val="10"/>
        <rFont val="Arial"/>
        <family val="2"/>
      </rPr>
      <t>less observations</t>
    </r>
    <r>
      <rPr>
        <sz val="10"/>
        <rFont val="Arial"/>
        <family val="0"/>
      </rPr>
      <t xml:space="preserve"> than shown here,</t>
    </r>
    <r>
      <rPr>
        <sz val="10"/>
        <rFont val="Arial"/>
        <family val="2"/>
      </rPr>
      <t xml:space="preserve"> select the entire row(s) and hit the Delete key rather than right-click deleting the rows(s) entirely.</t>
    </r>
  </si>
  <si>
    <r>
      <t xml:space="preserve">If you have </t>
    </r>
    <r>
      <rPr>
        <b/>
        <sz val="10"/>
        <rFont val="Arial"/>
        <family val="2"/>
      </rPr>
      <t>more observations</t>
    </r>
    <r>
      <rPr>
        <sz val="10"/>
        <rFont val="Arial"/>
        <family val="2"/>
      </rPr>
      <t>, select entire row(s) and right-click COPY and right-click INSERT them anywhere below (but NOT including) the first row of the group.</t>
    </r>
  </si>
  <si>
    <r>
      <t xml:space="preserve">If you have an </t>
    </r>
    <r>
      <rPr>
        <b/>
        <sz val="10"/>
        <rFont val="Arial"/>
        <family val="2"/>
      </rPr>
      <t>extra trial</t>
    </r>
    <r>
      <rPr>
        <sz val="10"/>
        <rFont val="Arial"/>
        <family val="0"/>
      </rPr>
      <t xml:space="preserve">, select an entire existing trial column, then right-click copy and right-click insert it. </t>
    </r>
    <r>
      <rPr>
        <b/>
        <sz val="10"/>
        <rFont val="Arial"/>
        <family val="2"/>
      </rPr>
      <t>Don't do this with the Pre1 column</t>
    </r>
    <r>
      <rPr>
        <sz val="10"/>
        <rFont val="Arial"/>
        <family val="0"/>
      </rPr>
      <t>.</t>
    </r>
  </si>
  <si>
    <t>diff. in means of raw values</t>
  </si>
  <si>
    <t>standardized (Cohen) diff. in means</t>
  </si>
  <si>
    <t xml:space="preserve">standardized (Cohen) diff. in means </t>
  </si>
  <si>
    <t>diff. in means of log-trans. values</t>
  </si>
  <si>
    <t>diff. in mean of log-trans. values</t>
  </si>
  <si>
    <t>diff. in means (%)</t>
  </si>
  <si>
    <t xml:space="preserve">diff. in  means of trans. values </t>
  </si>
  <si>
    <t>Trial:</t>
  </si>
  <si>
    <t>mean:</t>
  </si>
  <si>
    <t>SD+:</t>
  </si>
  <si>
    <t>SD-:</t>
  </si>
  <si>
    <r>
      <t xml:space="preserve">Std'ized mean or effect of </t>
    </r>
    <r>
      <rPr>
        <sz val="10"/>
        <rFont val="Symbol"/>
        <family val="1"/>
      </rPr>
      <t>D</t>
    </r>
    <r>
      <rPr>
        <sz val="10"/>
        <rFont val="Arial"/>
        <family val="2"/>
      </rPr>
      <t>X</t>
    </r>
  </si>
  <si>
    <t>Std'ized SD or SEE</t>
  </si>
  <si>
    <t>Individual differences as SD</t>
  </si>
  <si>
    <t>Indiv. diff's as Cohenized SD</t>
  </si>
  <si>
    <t>Indiv. resp's as Cohenized SD</t>
  </si>
  <si>
    <t>Individual diff's as SD factor</t>
  </si>
  <si>
    <t>Individual differences as CV (%)</t>
  </si>
  <si>
    <t>X axis:</t>
  </si>
  <si>
    <r>
      <t xml:space="preserve">Hover cursor </t>
    </r>
    <r>
      <rPr>
        <sz val="10"/>
        <rFont val="Arial"/>
        <family val="2"/>
      </rPr>
      <t>for comment on use of this spreadsheet for posts-only analysis.</t>
    </r>
  </si>
  <si>
    <r>
      <t>If you have</t>
    </r>
    <r>
      <rPr>
        <b/>
        <sz val="10"/>
        <rFont val="Arial"/>
        <family val="2"/>
      </rPr>
      <t xml:space="preserve"> less than four trials,</t>
    </r>
    <r>
      <rPr>
        <sz val="10"/>
        <rFont val="Arial"/>
        <family val="2"/>
      </rPr>
      <t xml:space="preserve"> make the superfluous trial(s) identical to other trial(s), to prevent a bug-related error message with a blank trial.</t>
    </r>
  </si>
  <si>
    <t>Pre1</t>
  </si>
  <si>
    <t>Pre2</t>
  </si>
  <si>
    <t>Post1</t>
  </si>
  <si>
    <t>Post2</t>
  </si>
  <si>
    <t xml:space="preserve">    But missing X values must be blank or the graphs are corrupted.  Also, set missing effects values to blank or they plot as zeros.</t>
  </si>
  <si>
    <t>Raw</t>
  </si>
  <si>
    <t>Percent</t>
  </si>
  <si>
    <t>Factor</t>
  </si>
  <si>
    <t>Standardized</t>
  </si>
  <si>
    <t>Thresholds for inferences</t>
  </si>
  <si>
    <t xml:space="preserve">SD ratio </t>
  </si>
  <si>
    <t>Number of independent inferences</t>
  </si>
  <si>
    <t>Confidence level for multiple inferences (%)</t>
  </si>
  <si>
    <t>Chances (% and qualitative) that the true value of the statistic is mechanistically or clinically (practically)…</t>
  </si>
  <si>
    <t>substantially &gt;</t>
  </si>
  <si>
    <t>substantially &lt;</t>
  </si>
  <si>
    <t>Error of measurement for control gp</t>
  </si>
  <si>
    <t>Chances (% and qualitative) that the true ratio is mechanistically…</t>
  </si>
  <si>
    <t>greater than threshold</t>
  </si>
  <si>
    <t>less than threshold</t>
  </si>
  <si>
    <t>Odds ratio for benefit/harm</t>
  </si>
  <si>
    <t>Threshold for inferences</t>
  </si>
  <si>
    <t>ANALYSIS OF A PRE-POST PARALLEL-GROUPS CONTROLLED TRIAL WITH ADJUSTMENT FOR A PREDICTOR</t>
  </si>
  <si>
    <t>(for analysis of raw data)</t>
  </si>
  <si>
    <t>(for analysis of log-transformed data)</t>
  </si>
  <si>
    <t>(for comparing SDs at baseline)</t>
  </si>
  <si>
    <t>Maximum risk of harm (%)</t>
  </si>
  <si>
    <t>Minimum chance of benefit (%)</t>
  </si>
  <si>
    <t>-?</t>
  </si>
  <si>
    <t>Insert threshold value for smallest</t>
  </si>
  <si>
    <t xml:space="preserve">important or harmful effect </t>
  </si>
  <si>
    <t xml:space="preserve"> Threshold for opposite or beneficial</t>
  </si>
  <si>
    <t>Outcomes in standardized (Cohen) units</t>
  </si>
  <si>
    <t>Difference in group means in standardized (Cohen) units</t>
  </si>
  <si>
    <t>Difference in group means at a chosen raw value</t>
  </si>
  <si>
    <t xml:space="preserve"> effect (provided automatically)</t>
  </si>
  <si>
    <t>Benefit/harm odds ratio</t>
  </si>
  <si>
    <t>Mean pretest SD</t>
  </si>
  <si>
    <t>Adjusted SD for Cohen</t>
  </si>
  <si>
    <t>Mean pretest SD as a CV (%)</t>
  </si>
  <si>
    <t>Mean pretest SD as typical deviation</t>
  </si>
  <si>
    <r>
      <t xml:space="preserve">Mean pretest SD as a </t>
    </r>
    <r>
      <rPr>
        <sz val="10"/>
        <rFont val="Symbol"/>
        <family val="1"/>
      </rPr>
      <t>´</t>
    </r>
    <r>
      <rPr>
        <sz val="10"/>
        <rFont val="Symbol"/>
        <family val="1"/>
      </rPr>
      <t>/¸</t>
    </r>
    <r>
      <rPr>
        <sz val="10"/>
        <rFont val="Arial"/>
        <family val="0"/>
      </rPr>
      <t xml:space="preserve"> factor</t>
    </r>
  </si>
  <si>
    <t>diff. in means as a factor</t>
  </si>
  <si>
    <t>?</t>
  </si>
  <si>
    <t>(for all analyses)</t>
  </si>
  <si>
    <t>effect via standardization</t>
  </si>
  <si>
    <t xml:space="preserve"> effect via standardization</t>
  </si>
  <si>
    <t>Threshold for important or harmful</t>
  </si>
  <si>
    <r>
      <t>Hover cursor</t>
    </r>
    <r>
      <rPr>
        <sz val="10"/>
        <rFont val="Arial"/>
        <family val="2"/>
      </rPr>
      <t xml:space="preserve"> for citation:</t>
    </r>
  </si>
  <si>
    <t>Hover cursor for updates:</t>
  </si>
  <si>
    <t xml:space="preserve">    and the right sign for your data and analysis:</t>
  </si>
  <si>
    <t>The above are provided when you insert a threshold standardized value.</t>
  </si>
  <si>
    <t>To get inferences, insert one or more threshold values of the (smallest or larger) important or harmful effect in the appropriate units</t>
  </si>
  <si>
    <t>Standardized difference in means</t>
  </si>
  <si>
    <t>Data (generated with Understaning Stats via Simulations) are for a training study in which the improvement in peak power in an incremental test depended on the initial weekly training (X) of the cyclists.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</si>
</sst>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0"/>
    <numFmt numFmtId="174" formatCode="0.000"/>
    <numFmt numFmtId="175" formatCode="&quot;Yes&quot;;&quot;Yes&quot;;&quot;No&quot;"/>
    <numFmt numFmtId="176" formatCode="&quot;True&quot;;&quot;True&quot;;&quot;False&quot;"/>
    <numFmt numFmtId="177" formatCode="&quot;On&quot;;&quot;On&quot;;&quot;Off&quot;"/>
    <numFmt numFmtId="178" formatCode="0.00000"/>
    <numFmt numFmtId="179" formatCode="0.000000"/>
    <numFmt numFmtId="180" formatCode="0.0000000"/>
    <numFmt numFmtId="181" formatCode="0.00000000000000"/>
    <numFmt numFmtId="182" formatCode="0.0000000000000"/>
    <numFmt numFmtId="183" formatCode="0.000000000000"/>
    <numFmt numFmtId="184" formatCode="0.00000000000"/>
    <numFmt numFmtId="185" formatCode="0.0000000000"/>
    <numFmt numFmtId="186" formatCode="0.000000000"/>
    <numFmt numFmtId="187" formatCode="0.00000000"/>
    <numFmt numFmtId="188" formatCode="0.000000000000000"/>
    <numFmt numFmtId="189" formatCode="[$€-2]\ #,##0.00_);[Red]\([$€-2]\ #,##0.00\)"/>
    <numFmt numFmtId="190" formatCode="0.E+00"/>
  </numFmts>
  <fonts count="99">
    <font>
      <sz val="10"/>
      <name val="Arial"/>
      <family val="0"/>
    </font>
    <font>
      <b/>
      <sz val="10"/>
      <name val="Arial"/>
      <family val="2"/>
    </font>
    <font>
      <sz val="10"/>
      <name val="Symbol"/>
      <family val="1"/>
    </font>
    <font>
      <u val="single"/>
      <sz val="10"/>
      <color indexed="12"/>
      <name val="Arial"/>
      <family val="2"/>
    </font>
    <font>
      <u val="single"/>
      <sz val="10"/>
      <color indexed="36"/>
      <name val="Arial"/>
      <family val="2"/>
    </font>
    <font>
      <b/>
      <sz val="10"/>
      <color indexed="12"/>
      <name val="Arial"/>
      <family val="2"/>
    </font>
    <font>
      <sz val="8"/>
      <name val="Tahoma"/>
      <family val="2"/>
    </font>
    <font>
      <b/>
      <sz val="8"/>
      <name val="Tahoma"/>
      <family val="2"/>
    </font>
    <font>
      <sz val="9"/>
      <name val="Arial"/>
      <family val="2"/>
    </font>
    <font>
      <sz val="8"/>
      <name val="Arial"/>
      <family val="2"/>
    </font>
    <font>
      <b/>
      <sz val="9"/>
      <color indexed="14"/>
      <name val="Arial"/>
      <family val="2"/>
    </font>
    <font>
      <b/>
      <sz val="9"/>
      <color indexed="57"/>
      <name val="Arial"/>
      <family val="2"/>
    </font>
    <font>
      <b/>
      <sz val="10"/>
      <color indexed="14"/>
      <name val="Arial"/>
      <family val="2"/>
    </font>
    <font>
      <b/>
      <sz val="10"/>
      <color indexed="57"/>
      <name val="Arial"/>
      <family val="2"/>
    </font>
    <font>
      <b/>
      <sz val="10"/>
      <color indexed="10"/>
      <name val="Arial"/>
      <family val="2"/>
    </font>
    <font>
      <sz val="7"/>
      <color indexed="10"/>
      <name val="Arial"/>
      <family val="2"/>
    </font>
    <font>
      <sz val="10"/>
      <color indexed="10"/>
      <name val="Arial"/>
      <family val="2"/>
    </font>
    <font>
      <sz val="10"/>
      <color indexed="12"/>
      <name val="Arial"/>
      <family val="2"/>
    </font>
    <font>
      <sz val="11"/>
      <name val="Arial"/>
      <family val="2"/>
    </font>
    <font>
      <sz val="11"/>
      <name val="Symbol"/>
      <family val="1"/>
    </font>
    <font>
      <b/>
      <sz val="11"/>
      <name val="Arial"/>
      <family val="2"/>
    </font>
    <font>
      <sz val="9"/>
      <color indexed="14"/>
      <name val="Arial"/>
      <family val="2"/>
    </font>
    <font>
      <sz val="9"/>
      <color indexed="57"/>
      <name val="Arial"/>
      <family val="2"/>
    </font>
    <font>
      <b/>
      <sz val="14"/>
      <color indexed="12"/>
      <name val="Arial"/>
      <family val="2"/>
    </font>
    <font>
      <b/>
      <sz val="10"/>
      <color indexed="20"/>
      <name val="Arial"/>
      <family val="2"/>
    </font>
    <font>
      <b/>
      <sz val="10"/>
      <color indexed="55"/>
      <name val="Arial"/>
      <family val="2"/>
    </font>
    <font>
      <sz val="10"/>
      <color indexed="61"/>
      <name val="Arial"/>
      <family val="2"/>
    </font>
    <font>
      <sz val="9"/>
      <color indexed="61"/>
      <name val="Arial"/>
      <family val="2"/>
    </font>
    <font>
      <b/>
      <sz val="10"/>
      <name val="Symbol"/>
      <family val="1"/>
    </font>
    <font>
      <sz val="10"/>
      <color indexed="23"/>
      <name val="Arial"/>
      <family val="2"/>
    </font>
    <font>
      <b/>
      <sz val="11"/>
      <name val="Arial Narrow"/>
      <family val="2"/>
    </font>
    <font>
      <b/>
      <sz val="12"/>
      <name val="Arial Narrow"/>
      <family val="2"/>
    </font>
    <font>
      <sz val="11"/>
      <name val="Arial Narrow"/>
      <family val="2"/>
    </font>
    <font>
      <sz val="10"/>
      <name val="Arial Narrow"/>
      <family val="2"/>
    </font>
    <font>
      <b/>
      <sz val="10"/>
      <name val="Arial Narrow"/>
      <family val="2"/>
    </font>
    <font>
      <b/>
      <sz val="10"/>
      <color indexed="12"/>
      <name val="Arial Narrow"/>
      <family val="2"/>
    </font>
    <font>
      <sz val="9"/>
      <name val="Arial Narrow"/>
      <family val="2"/>
    </font>
    <font>
      <b/>
      <sz val="10"/>
      <color indexed="23"/>
      <name val="Arial"/>
      <family val="2"/>
    </font>
    <font>
      <sz val="9"/>
      <color indexed="23"/>
      <name val="Arial"/>
      <family val="2"/>
    </font>
    <font>
      <sz val="8"/>
      <color indexed="23"/>
      <name val="Arial"/>
      <family val="2"/>
    </font>
    <font>
      <b/>
      <sz val="9"/>
      <color indexed="23"/>
      <name val="Arial"/>
      <family val="2"/>
    </font>
    <font>
      <sz val="7"/>
      <color indexed="23"/>
      <name val="Arial"/>
      <family val="2"/>
    </font>
    <font>
      <sz val="11"/>
      <color indexed="23"/>
      <name val="Symbol"/>
      <family val="1"/>
    </font>
    <font>
      <b/>
      <sz val="12"/>
      <color indexed="12"/>
      <name val="Arial"/>
      <family val="2"/>
    </font>
    <font>
      <sz val="8"/>
      <name val="Symbol"/>
      <family val="1"/>
    </font>
    <font>
      <b/>
      <sz val="10"/>
      <color indexed="61"/>
      <name val="Arial"/>
      <family val="2"/>
    </font>
    <font>
      <sz val="10"/>
      <color indexed="8"/>
      <name val="Arial"/>
      <family val="2"/>
    </font>
    <font>
      <sz val="9"/>
      <color indexed="8"/>
      <name val="Arial"/>
      <family val="2"/>
    </font>
    <font>
      <b/>
      <sz val="11"/>
      <color indexed="12"/>
      <name val="Arial"/>
      <family val="2"/>
    </font>
    <font>
      <b/>
      <sz val="11"/>
      <color indexed="20"/>
      <name val="Arial"/>
      <family val="2"/>
    </font>
    <font>
      <sz val="8"/>
      <color indexed="10"/>
      <name val="Arial"/>
      <family val="2"/>
    </font>
    <font>
      <sz val="8"/>
      <color indexed="14"/>
      <name val="Arial"/>
      <family val="2"/>
    </font>
    <font>
      <sz val="8"/>
      <color indexed="57"/>
      <name val="Arial"/>
      <family val="2"/>
    </font>
    <font>
      <sz val="10"/>
      <color indexed="57"/>
      <name val="Arial"/>
      <family val="2"/>
    </font>
    <font>
      <sz val="10"/>
      <color indexed="55"/>
      <name val="Arial"/>
      <family val="2"/>
    </font>
    <font>
      <sz val="10"/>
      <color indexed="14"/>
      <name val="Arial"/>
      <family val="2"/>
    </font>
    <font>
      <b/>
      <sz val="9"/>
      <color indexed="61"/>
      <name val="Arial"/>
      <family val="2"/>
    </font>
    <font>
      <sz val="10"/>
      <color indexed="63"/>
      <name val="Arial"/>
      <family val="2"/>
    </font>
    <font>
      <sz val="9"/>
      <name val="Tahoma"/>
      <family val="2"/>
    </font>
    <font>
      <sz val="11"/>
      <color indexed="10"/>
      <name val="Arial"/>
      <family val="2"/>
    </font>
    <font>
      <b/>
      <sz val="10"/>
      <color indexed="60"/>
      <name val="Arial"/>
      <family val="2"/>
    </font>
    <font>
      <sz val="9"/>
      <color indexed="8"/>
      <name val="Arial Narrow"/>
      <family val="0"/>
    </font>
    <font>
      <sz val="7.55"/>
      <color indexed="8"/>
      <name val="Arial Narrow"/>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65"/>
      <color indexed="8"/>
      <name val="Arial Narro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55"/>
        <bgColor indexed="64"/>
      </patternFill>
    </fill>
    <fill>
      <patternFill patternType="solid">
        <fgColor indexed="47"/>
        <bgColor indexed="64"/>
      </patternFill>
    </fill>
    <fill>
      <patternFill patternType="solid">
        <fgColor indexed="44"/>
        <bgColor indexed="64"/>
      </patternFill>
    </fill>
    <fill>
      <patternFill patternType="solid">
        <fgColor indexed="13"/>
        <bgColor indexed="64"/>
      </patternFill>
    </fill>
    <fill>
      <patternFill patternType="solid">
        <fgColor indexed="4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medium"/>
      <top>
        <color indexed="63"/>
      </top>
      <bottom style="thin"/>
    </border>
    <border>
      <left style="thin"/>
      <right style="medium"/>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style="medium"/>
      <top style="thin"/>
      <bottom style="medium"/>
    </border>
    <border>
      <left>
        <color indexed="63"/>
      </left>
      <right style="thin"/>
      <top>
        <color indexed="63"/>
      </top>
      <bottom style="medium"/>
    </border>
    <border>
      <left style="medium"/>
      <right style="thin"/>
      <top style="thin"/>
      <bottom style="medium"/>
    </border>
    <border>
      <left style="medium"/>
      <right style="thin"/>
      <top style="medium"/>
      <bottom style="thin"/>
    </border>
    <border>
      <left style="medium"/>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0"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3" fillId="25" borderId="0" applyNumberFormat="0" applyBorder="0" applyAlignment="0" applyProtection="0"/>
    <xf numFmtId="0" fontId="84" fillId="26" borderId="1" applyNumberFormat="0" applyAlignment="0" applyProtection="0"/>
    <xf numFmtId="0" fontId="85"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6" fillId="0" borderId="0" applyNumberFormat="0" applyFill="0" applyBorder="0" applyAlignment="0" applyProtection="0"/>
    <xf numFmtId="0" fontId="4" fillId="0" borderId="0" applyNumberFormat="0" applyFill="0" applyBorder="0" applyAlignment="0" applyProtection="0"/>
    <xf numFmtId="0" fontId="87" fillId="28" borderId="0" applyNumberFormat="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3" fillId="0" borderId="0" applyNumberFormat="0" applyFill="0" applyBorder="0" applyAlignment="0" applyProtection="0"/>
    <xf numFmtId="0" fontId="91" fillId="29" borderId="1" applyNumberFormat="0" applyAlignment="0" applyProtection="0"/>
    <xf numFmtId="0" fontId="92" fillId="0" borderId="6" applyNumberFormat="0" applyFill="0" applyAlignment="0" applyProtection="0"/>
    <xf numFmtId="0" fontId="93" fillId="30" borderId="0" applyNumberFormat="0" applyBorder="0" applyAlignment="0" applyProtection="0"/>
    <xf numFmtId="0" fontId="0" fillId="31" borderId="7" applyNumberFormat="0" applyFont="0" applyAlignment="0" applyProtection="0"/>
    <xf numFmtId="0" fontId="94" fillId="26" borderId="8" applyNumberFormat="0" applyAlignment="0" applyProtection="0"/>
    <xf numFmtId="9" fontId="0" fillId="0" borderId="0" applyFont="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0" borderId="0" applyNumberFormat="0" applyFill="0" applyBorder="0" applyAlignment="0" applyProtection="0"/>
  </cellStyleXfs>
  <cellXfs count="447">
    <xf numFmtId="0" fontId="0" fillId="0" borderId="0" xfId="0" applyAlignment="1">
      <alignment/>
    </xf>
    <xf numFmtId="172" fontId="0" fillId="0" borderId="0" xfId="0" applyNumberFormat="1" applyAlignment="1">
      <alignment/>
    </xf>
    <xf numFmtId="0" fontId="1" fillId="0" borderId="0" xfId="0" applyFont="1" applyFill="1" applyAlignment="1">
      <alignment/>
    </xf>
    <xf numFmtId="0" fontId="0" fillId="0" borderId="0" xfId="0" applyAlignment="1">
      <alignment horizontal="right"/>
    </xf>
    <xf numFmtId="172" fontId="0" fillId="0" borderId="0" xfId="0" applyNumberFormat="1" applyAlignment="1">
      <alignment horizontal="right"/>
    </xf>
    <xf numFmtId="2" fontId="0" fillId="32" borderId="0" xfId="0" applyNumberFormat="1" applyFill="1" applyAlignment="1">
      <alignment horizontal="right"/>
    </xf>
    <xf numFmtId="0" fontId="0" fillId="32" borderId="0" xfId="0" applyFont="1" applyFill="1" applyAlignment="1">
      <alignment horizontal="right"/>
    </xf>
    <xf numFmtId="172" fontId="0" fillId="32" borderId="0" xfId="0" applyNumberFormat="1" applyFill="1" applyAlignment="1">
      <alignment horizontal="right"/>
    </xf>
    <xf numFmtId="0" fontId="0" fillId="0" borderId="0" xfId="0" applyFont="1" applyFill="1" applyAlignment="1">
      <alignment horizontal="right"/>
    </xf>
    <xf numFmtId="172" fontId="0" fillId="0" borderId="0" xfId="0" applyNumberFormat="1" applyFill="1" applyAlignment="1">
      <alignment horizontal="right"/>
    </xf>
    <xf numFmtId="2" fontId="0" fillId="0" borderId="0" xfId="0" applyNumberFormat="1" applyFill="1" applyAlignment="1">
      <alignment horizontal="right"/>
    </xf>
    <xf numFmtId="0" fontId="0" fillId="0" borderId="0" xfId="0" applyFill="1" applyAlignment="1">
      <alignment/>
    </xf>
    <xf numFmtId="0" fontId="8" fillId="0" borderId="10" xfId="0" applyFont="1" applyBorder="1" applyAlignment="1">
      <alignment horizontal="right" wrapText="1"/>
    </xf>
    <xf numFmtId="0" fontId="0" fillId="0" borderId="11" xfId="0" applyFont="1" applyBorder="1" applyAlignment="1">
      <alignment horizontal="right"/>
    </xf>
    <xf numFmtId="0" fontId="11" fillId="0" borderId="11" xfId="0" applyFont="1" applyBorder="1" applyAlignment="1" quotePrefix="1">
      <alignment horizontal="right"/>
    </xf>
    <xf numFmtId="0" fontId="10" fillId="0" borderId="10" xfId="0" applyFont="1" applyBorder="1" applyAlignment="1" quotePrefix="1">
      <alignment horizontal="right"/>
    </xf>
    <xf numFmtId="172" fontId="16" fillId="0" borderId="12" xfId="0" applyNumberFormat="1" applyFont="1" applyBorder="1" applyAlignment="1">
      <alignment horizontal="center"/>
    </xf>
    <xf numFmtId="172" fontId="14" fillId="0" borderId="12" xfId="0" applyNumberFormat="1" applyFont="1" applyBorder="1" applyAlignment="1">
      <alignment horizontal="center"/>
    </xf>
    <xf numFmtId="1" fontId="0" fillId="0" borderId="12" xfId="0" applyNumberFormat="1" applyFont="1" applyBorder="1" applyAlignment="1">
      <alignment horizontal="center"/>
    </xf>
    <xf numFmtId="0" fontId="17" fillId="0" borderId="0" xfId="0" applyFont="1" applyAlignment="1">
      <alignment/>
    </xf>
    <xf numFmtId="1" fontId="0" fillId="0" borderId="13" xfId="0" applyNumberFormat="1" applyFont="1" applyBorder="1" applyAlignment="1">
      <alignment horizontal="center"/>
    </xf>
    <xf numFmtId="1" fontId="15" fillId="0" borderId="14" xfId="0" applyNumberFormat="1" applyFont="1" applyBorder="1" applyAlignment="1">
      <alignment horizontal="center" vertical="center" wrapText="1"/>
    </xf>
    <xf numFmtId="0" fontId="0" fillId="0" borderId="10" xfId="0" applyBorder="1" applyAlignment="1">
      <alignment/>
    </xf>
    <xf numFmtId="0" fontId="8" fillId="0" borderId="11" xfId="0" applyFont="1" applyBorder="1" applyAlignment="1">
      <alignment horizontal="right" wrapText="1"/>
    </xf>
    <xf numFmtId="0" fontId="0" fillId="0" borderId="0" xfId="0" applyBorder="1" applyAlignment="1">
      <alignment/>
    </xf>
    <xf numFmtId="0" fontId="0" fillId="0" borderId="12" xfId="0" applyBorder="1" applyAlignment="1">
      <alignment horizontal="right"/>
    </xf>
    <xf numFmtId="0" fontId="18" fillId="0" borderId="11" xfId="0" applyFont="1" applyBorder="1" applyAlignment="1">
      <alignment horizontal="right"/>
    </xf>
    <xf numFmtId="0" fontId="0" fillId="0" borderId="0" xfId="0" applyFont="1" applyBorder="1" applyAlignment="1">
      <alignment horizontal="center" wrapText="1"/>
    </xf>
    <xf numFmtId="1" fontId="0" fillId="0" borderId="0" xfId="0" applyNumberFormat="1" applyFont="1" applyBorder="1" applyAlignment="1">
      <alignment horizontal="center"/>
    </xf>
    <xf numFmtId="0" fontId="0" fillId="0" borderId="0" xfId="0" applyBorder="1" applyAlignment="1">
      <alignment horizontal="center"/>
    </xf>
    <xf numFmtId="0" fontId="5" fillId="0" borderId="0" xfId="0" applyFont="1" applyBorder="1" applyAlignment="1">
      <alignment horizontal="center"/>
    </xf>
    <xf numFmtId="0" fontId="0" fillId="0" borderId="12" xfId="0" applyFont="1" applyFill="1" applyBorder="1" applyAlignment="1">
      <alignment horizontal="right"/>
    </xf>
    <xf numFmtId="0" fontId="0" fillId="0" borderId="0" xfId="0" applyAlignment="1">
      <alignment horizontal="center"/>
    </xf>
    <xf numFmtId="1" fontId="0" fillId="0" borderId="13" xfId="0" applyNumberFormat="1" applyBorder="1" applyAlignment="1">
      <alignment horizontal="center"/>
    </xf>
    <xf numFmtId="0" fontId="0" fillId="0" borderId="15" xfId="0" applyBorder="1" applyAlignment="1">
      <alignment/>
    </xf>
    <xf numFmtId="0" fontId="0" fillId="0" borderId="16" xfId="0" applyBorder="1" applyAlignment="1">
      <alignment/>
    </xf>
    <xf numFmtId="2" fontId="14" fillId="0" borderId="12" xfId="0" applyNumberFormat="1" applyFont="1" applyBorder="1" applyAlignment="1">
      <alignment horizontal="center"/>
    </xf>
    <xf numFmtId="0" fontId="8" fillId="0" borderId="17" xfId="0" applyFont="1" applyFill="1" applyBorder="1" applyAlignment="1">
      <alignment horizontal="right"/>
    </xf>
    <xf numFmtId="1" fontId="0" fillId="0" borderId="16" xfId="0" applyNumberFormat="1" applyBorder="1" applyAlignment="1">
      <alignment horizontal="center"/>
    </xf>
    <xf numFmtId="0" fontId="8" fillId="0" borderId="0" xfId="0" applyFont="1" applyFill="1" applyBorder="1" applyAlignment="1">
      <alignment horizontal="right"/>
    </xf>
    <xf numFmtId="0" fontId="0" fillId="0" borderId="17" xfId="0" applyBorder="1" applyAlignment="1">
      <alignment/>
    </xf>
    <xf numFmtId="0" fontId="0" fillId="0" borderId="12" xfId="0" applyBorder="1" applyAlignment="1">
      <alignment/>
    </xf>
    <xf numFmtId="0" fontId="8" fillId="0" borderId="13" xfId="0" applyFont="1" applyBorder="1" applyAlignment="1">
      <alignment horizontal="right" wrapText="1"/>
    </xf>
    <xf numFmtId="174" fontId="14" fillId="0" borderId="13" xfId="0" applyNumberFormat="1" applyFont="1" applyBorder="1" applyAlignment="1">
      <alignment horizontal="center"/>
    </xf>
    <xf numFmtId="1" fontId="0" fillId="0" borderId="0" xfId="0" applyNumberFormat="1" applyAlignment="1">
      <alignment horizontal="right"/>
    </xf>
    <xf numFmtId="2" fontId="14" fillId="0" borderId="13" xfId="0" applyNumberFormat="1" applyFont="1" applyBorder="1" applyAlignment="1">
      <alignment horizontal="center"/>
    </xf>
    <xf numFmtId="0" fontId="0" fillId="0" borderId="0" xfId="0" applyFill="1" applyAlignment="1">
      <alignment horizontal="center"/>
    </xf>
    <xf numFmtId="0" fontId="0" fillId="0" borderId="0" xfId="0" applyFont="1" applyBorder="1" applyAlignment="1">
      <alignment horizontal="center"/>
    </xf>
    <xf numFmtId="0" fontId="8" fillId="33" borderId="0" xfId="0" applyFont="1" applyFill="1" applyBorder="1" applyAlignment="1">
      <alignment horizontal="right"/>
    </xf>
    <xf numFmtId="0" fontId="8" fillId="33" borderId="15" xfId="0" applyFont="1" applyFill="1" applyBorder="1" applyAlignment="1">
      <alignment/>
    </xf>
    <xf numFmtId="172" fontId="8" fillId="33" borderId="13" xfId="0" applyNumberFormat="1" applyFont="1" applyFill="1" applyBorder="1" applyAlignment="1">
      <alignment horizontal="center"/>
    </xf>
    <xf numFmtId="0" fontId="18" fillId="0" borderId="18" xfId="0" applyFont="1" applyBorder="1" applyAlignment="1">
      <alignment/>
    </xf>
    <xf numFmtId="0" fontId="20" fillId="0" borderId="18"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2" fontId="16" fillId="0" borderId="13" xfId="0" applyNumberFormat="1" applyFont="1" applyBorder="1" applyAlignment="1">
      <alignment horizontal="center"/>
    </xf>
    <xf numFmtId="2" fontId="16" fillId="0" borderId="13" xfId="0" applyNumberFormat="1" applyFont="1" applyBorder="1" applyAlignment="1">
      <alignment horizontal="left"/>
    </xf>
    <xf numFmtId="2" fontId="16" fillId="0" borderId="13" xfId="0" applyNumberFormat="1" applyFont="1" applyBorder="1" applyAlignment="1">
      <alignment horizontal="right"/>
    </xf>
    <xf numFmtId="172" fontId="16" fillId="0" borderId="13" xfId="0" applyNumberFormat="1" applyFont="1" applyBorder="1" applyAlignment="1">
      <alignment horizontal="center"/>
    </xf>
    <xf numFmtId="172" fontId="16" fillId="0" borderId="13" xfId="0" applyNumberFormat="1" applyFont="1" applyBorder="1" applyAlignment="1">
      <alignment horizontal="left"/>
    </xf>
    <xf numFmtId="172" fontId="16" fillId="0" borderId="13" xfId="0" applyNumberFormat="1" applyFont="1" applyBorder="1" applyAlignment="1">
      <alignment/>
    </xf>
    <xf numFmtId="174" fontId="16" fillId="0" borderId="13" xfId="0" applyNumberFormat="1" applyFont="1" applyBorder="1" applyAlignment="1">
      <alignment horizontal="left"/>
    </xf>
    <xf numFmtId="174" fontId="16" fillId="0" borderId="13" xfId="0" applyNumberFormat="1" applyFont="1" applyBorder="1" applyAlignment="1">
      <alignment horizontal="right"/>
    </xf>
    <xf numFmtId="172" fontId="16" fillId="0" borderId="13" xfId="0" applyNumberFormat="1" applyFont="1" applyBorder="1" applyAlignment="1">
      <alignment horizontal="right"/>
    </xf>
    <xf numFmtId="2" fontId="16" fillId="0" borderId="14" xfId="0" applyNumberFormat="1" applyFont="1" applyBorder="1" applyAlignment="1">
      <alignment horizontal="center"/>
    </xf>
    <xf numFmtId="174" fontId="16" fillId="0" borderId="14" xfId="0" applyNumberFormat="1" applyFont="1" applyBorder="1" applyAlignment="1">
      <alignment horizontal="center"/>
    </xf>
    <xf numFmtId="172" fontId="16" fillId="0" borderId="14" xfId="0" applyNumberFormat="1" applyFont="1" applyBorder="1" applyAlignment="1">
      <alignment horizontal="center"/>
    </xf>
    <xf numFmtId="0" fontId="21" fillId="0" borderId="10" xfId="0" applyFont="1" applyBorder="1" applyAlignment="1" quotePrefix="1">
      <alignment horizontal="right"/>
    </xf>
    <xf numFmtId="0" fontId="22" fillId="0" borderId="11" xfId="0" applyFont="1" applyBorder="1" applyAlignment="1" quotePrefix="1">
      <alignment horizontal="right"/>
    </xf>
    <xf numFmtId="1" fontId="16" fillId="0" borderId="19" xfId="0" applyNumberFormat="1" applyFont="1" applyBorder="1" applyAlignment="1">
      <alignment horizontal="center"/>
    </xf>
    <xf numFmtId="174" fontId="17" fillId="0" borderId="0" xfId="0" applyNumberFormat="1" applyFont="1" applyBorder="1" applyAlignment="1">
      <alignment horizontal="center"/>
    </xf>
    <xf numFmtId="0" fontId="0" fillId="0" borderId="11" xfId="0" applyFont="1" applyBorder="1" applyAlignment="1">
      <alignment horizontal="right" vertical="center"/>
    </xf>
    <xf numFmtId="172" fontId="16" fillId="0" borderId="12" xfId="0" applyNumberFormat="1" applyFont="1" applyBorder="1" applyAlignment="1">
      <alignment horizontal="left"/>
    </xf>
    <xf numFmtId="172" fontId="16" fillId="0" borderId="12" xfId="0" applyNumberFormat="1" applyFont="1" applyBorder="1" applyAlignment="1">
      <alignment horizontal="right"/>
    </xf>
    <xf numFmtId="2" fontId="16" fillId="32" borderId="0" xfId="0" applyNumberFormat="1" applyFont="1" applyFill="1" applyAlignment="1">
      <alignment horizontal="right"/>
    </xf>
    <xf numFmtId="172" fontId="16" fillId="32" borderId="0" xfId="0" applyNumberFormat="1" applyFont="1" applyFill="1" applyAlignment="1">
      <alignment horizontal="right"/>
    </xf>
    <xf numFmtId="2" fontId="16" fillId="0" borderId="0" xfId="0" applyNumberFormat="1" applyFont="1" applyFill="1" applyAlignment="1">
      <alignment horizontal="right"/>
    </xf>
    <xf numFmtId="0" fontId="1" fillId="0" borderId="0" xfId="0" applyFont="1" applyAlignment="1">
      <alignment/>
    </xf>
    <xf numFmtId="0" fontId="0" fillId="0" borderId="13" xfId="0" applyBorder="1" applyAlignment="1">
      <alignment horizontal="center" wrapText="1"/>
    </xf>
    <xf numFmtId="172" fontId="16" fillId="0" borderId="20" xfId="0" applyNumberFormat="1" applyFont="1" applyBorder="1" applyAlignment="1">
      <alignment horizontal="center"/>
    </xf>
    <xf numFmtId="0" fontId="24" fillId="0" borderId="0" xfId="0" applyNumberFormat="1" applyFont="1" applyBorder="1" applyAlignment="1">
      <alignment horizontal="center"/>
    </xf>
    <xf numFmtId="0" fontId="18" fillId="0" borderId="0" xfId="0" applyFont="1" applyBorder="1" applyAlignment="1">
      <alignment/>
    </xf>
    <xf numFmtId="0" fontId="24" fillId="0" borderId="0" xfId="0" applyFont="1" applyBorder="1" applyAlignment="1">
      <alignment horizontal="center"/>
    </xf>
    <xf numFmtId="0" fontId="8" fillId="0" borderId="0" xfId="0" applyFont="1" applyBorder="1" applyAlignment="1">
      <alignment horizontal="center"/>
    </xf>
    <xf numFmtId="0" fontId="8" fillId="0" borderId="0" xfId="0" applyFont="1" applyBorder="1" applyAlignment="1">
      <alignment horizontal="center" wrapText="1"/>
    </xf>
    <xf numFmtId="0" fontId="8" fillId="0" borderId="0" xfId="0" applyFont="1" applyBorder="1" applyAlignment="1">
      <alignment/>
    </xf>
    <xf numFmtId="0" fontId="9" fillId="0" borderId="0" xfId="0" applyFont="1" applyFill="1" applyBorder="1" applyAlignment="1">
      <alignment horizontal="right"/>
    </xf>
    <xf numFmtId="2" fontId="16" fillId="0" borderId="0" xfId="0" applyNumberFormat="1" applyFont="1" applyBorder="1" applyAlignment="1">
      <alignment horizontal="center"/>
    </xf>
    <xf numFmtId="0" fontId="0" fillId="0" borderId="0" xfId="0" applyBorder="1" applyAlignment="1">
      <alignment horizontal="right" vertical="center" wrapText="1"/>
    </xf>
    <xf numFmtId="0" fontId="8" fillId="0" borderId="0" xfId="0" applyFont="1" applyBorder="1" applyAlignment="1">
      <alignment horizontal="right" wrapText="1"/>
    </xf>
    <xf numFmtId="2" fontId="16" fillId="0" borderId="0" xfId="0" applyNumberFormat="1" applyFont="1" applyBorder="1" applyAlignment="1">
      <alignment horizontal="left"/>
    </xf>
    <xf numFmtId="0" fontId="8" fillId="33" borderId="10" xfId="0" applyFont="1" applyFill="1" applyBorder="1" applyAlignment="1">
      <alignment/>
    </xf>
    <xf numFmtId="2" fontId="0" fillId="0" borderId="13" xfId="0" applyNumberFormat="1" applyBorder="1" applyAlignment="1">
      <alignment horizontal="center" wrapText="1"/>
    </xf>
    <xf numFmtId="0" fontId="0" fillId="0" borderId="0" xfId="0" applyFont="1" applyFill="1" applyBorder="1" applyAlignment="1">
      <alignment horizontal="right"/>
    </xf>
    <xf numFmtId="1" fontId="27" fillId="0" borderId="0" xfId="0" applyNumberFormat="1" applyFont="1" applyBorder="1" applyAlignment="1">
      <alignment horizontal="center" wrapText="1"/>
    </xf>
    <xf numFmtId="1" fontId="26" fillId="0" borderId="0" xfId="0" applyNumberFormat="1" applyFont="1" applyBorder="1" applyAlignment="1">
      <alignment horizontal="center"/>
    </xf>
    <xf numFmtId="0" fontId="8" fillId="0" borderId="14" xfId="0" applyFont="1" applyBorder="1" applyAlignment="1">
      <alignment horizontal="right"/>
    </xf>
    <xf numFmtId="0" fontId="1" fillId="0" borderId="0" xfId="0" applyFont="1" applyFill="1" applyAlignment="1">
      <alignment horizontal="right"/>
    </xf>
    <xf numFmtId="1" fontId="23" fillId="0" borderId="0" xfId="0" applyNumberFormat="1" applyFont="1" applyFill="1" applyAlignment="1">
      <alignment horizontal="right"/>
    </xf>
    <xf numFmtId="172" fontId="0" fillId="0" borderId="13" xfId="0" applyNumberFormat="1" applyFont="1" applyBorder="1" applyAlignment="1">
      <alignment horizontal="center"/>
    </xf>
    <xf numFmtId="1" fontId="0" fillId="32" borderId="0" xfId="0" applyNumberFormat="1" applyFill="1" applyAlignment="1">
      <alignment horizontal="right"/>
    </xf>
    <xf numFmtId="2" fontId="0" fillId="0" borderId="0" xfId="0" applyNumberFormat="1" applyAlignment="1">
      <alignment/>
    </xf>
    <xf numFmtId="174" fontId="16" fillId="0" borderId="13" xfId="0" applyNumberFormat="1" applyFont="1" applyBorder="1" applyAlignment="1">
      <alignment horizontal="center"/>
    </xf>
    <xf numFmtId="172" fontId="5" fillId="0" borderId="13" xfId="0" applyNumberFormat="1" applyFont="1" applyBorder="1" applyAlignment="1">
      <alignment horizontal="center"/>
    </xf>
    <xf numFmtId="2" fontId="1" fillId="0" borderId="0" xfId="0" applyNumberFormat="1" applyFont="1" applyFill="1" applyAlignment="1">
      <alignment horizontal="right"/>
    </xf>
    <xf numFmtId="172" fontId="16" fillId="0" borderId="0" xfId="0" applyNumberFormat="1" applyFont="1" applyFill="1" applyAlignment="1">
      <alignment/>
    </xf>
    <xf numFmtId="174" fontId="16" fillId="0" borderId="0" xfId="0" applyNumberFormat="1" applyFont="1" applyFill="1" applyAlignment="1">
      <alignment/>
    </xf>
    <xf numFmtId="2" fontId="16" fillId="0" borderId="0" xfId="0" applyNumberFormat="1" applyFont="1" applyFill="1" applyAlignment="1">
      <alignment/>
    </xf>
    <xf numFmtId="0" fontId="0" fillId="0" borderId="11" xfId="0" applyBorder="1" applyAlignment="1">
      <alignment horizontal="right" vertical="center"/>
    </xf>
    <xf numFmtId="172" fontId="16" fillId="0" borderId="21" xfId="0" applyNumberFormat="1" applyFont="1" applyBorder="1" applyAlignment="1">
      <alignment horizontal="center"/>
    </xf>
    <xf numFmtId="2" fontId="16" fillId="0" borderId="21" xfId="0" applyNumberFormat="1" applyFont="1" applyBorder="1" applyAlignment="1">
      <alignment horizontal="center"/>
    </xf>
    <xf numFmtId="0" fontId="1" fillId="0" borderId="10" xfId="0" applyFont="1" applyBorder="1" applyAlignment="1">
      <alignment horizontal="left"/>
    </xf>
    <xf numFmtId="0" fontId="1" fillId="0" borderId="17" xfId="0" applyFont="1" applyBorder="1" applyAlignment="1">
      <alignment horizontal="left"/>
    </xf>
    <xf numFmtId="0" fontId="1" fillId="0" borderId="12" xfId="0" applyFont="1" applyBorder="1" applyAlignment="1">
      <alignment horizontal="left"/>
    </xf>
    <xf numFmtId="0" fontId="0" fillId="0" borderId="0" xfId="0" applyFont="1" applyBorder="1" applyAlignment="1">
      <alignment horizontal="right"/>
    </xf>
    <xf numFmtId="0" fontId="29" fillId="0" borderId="0" xfId="0" applyFont="1" applyAlignment="1">
      <alignment/>
    </xf>
    <xf numFmtId="0" fontId="29" fillId="0" borderId="0" xfId="0" applyFont="1" applyBorder="1" applyAlignment="1">
      <alignment/>
    </xf>
    <xf numFmtId="0" fontId="29" fillId="0" borderId="0" xfId="0" applyFont="1" applyAlignment="1">
      <alignment/>
    </xf>
    <xf numFmtId="0" fontId="32" fillId="0" borderId="0" xfId="0" applyFont="1" applyAlignment="1">
      <alignment/>
    </xf>
    <xf numFmtId="0" fontId="33" fillId="0" borderId="0" xfId="0" applyFont="1" applyAlignment="1">
      <alignment/>
    </xf>
    <xf numFmtId="0" fontId="34" fillId="5" borderId="0" xfId="0" applyFont="1" applyFill="1" applyAlignment="1">
      <alignment horizontal="left" wrapText="1"/>
    </xf>
    <xf numFmtId="0" fontId="35" fillId="5" borderId="0" xfId="0" applyFont="1" applyFill="1" applyAlignment="1">
      <alignment horizontal="right" wrapText="1"/>
    </xf>
    <xf numFmtId="0" fontId="36" fillId="5" borderId="0" xfId="0" applyFont="1" applyFill="1" applyAlignment="1">
      <alignment horizontal="center" wrapText="1"/>
    </xf>
    <xf numFmtId="0" fontId="34" fillId="5" borderId="0" xfId="0" applyFont="1" applyFill="1" applyAlignment="1">
      <alignment horizontal="right" wrapText="1"/>
    </xf>
    <xf numFmtId="0" fontId="33" fillId="0" borderId="13" xfId="0" applyFont="1" applyBorder="1" applyAlignment="1">
      <alignment horizontal="center" wrapText="1"/>
    </xf>
    <xf numFmtId="0" fontId="0" fillId="0" borderId="0" xfId="0" applyAlignment="1">
      <alignment horizontal="right" wrapText="1"/>
    </xf>
    <xf numFmtId="0" fontId="0" fillId="0" borderId="0" xfId="0" applyAlignment="1">
      <alignment wrapText="1"/>
    </xf>
    <xf numFmtId="0" fontId="0" fillId="0" borderId="13" xfId="0" applyBorder="1" applyAlignment="1">
      <alignment horizontal="right"/>
    </xf>
    <xf numFmtId="0" fontId="10" fillId="0" borderId="11" xfId="0" applyFont="1" applyBorder="1" applyAlignment="1">
      <alignment horizontal="right" vertical="center" wrapText="1"/>
    </xf>
    <xf numFmtId="0" fontId="12" fillId="0" borderId="22" xfId="0" applyFont="1" applyBorder="1" applyAlignment="1" quotePrefix="1">
      <alignment horizontal="right" vertical="center" wrapText="1"/>
    </xf>
    <xf numFmtId="0" fontId="25" fillId="0" borderId="22" xfId="0" applyFont="1" applyBorder="1" applyAlignment="1">
      <alignment horizontal="right" vertical="center" wrapText="1"/>
    </xf>
    <xf numFmtId="0" fontId="25" fillId="0" borderId="11" xfId="0" applyFont="1" applyBorder="1" applyAlignment="1">
      <alignment horizontal="right" vertical="center" wrapText="1"/>
    </xf>
    <xf numFmtId="0" fontId="13" fillId="0" borderId="22" xfId="0" applyFont="1" applyBorder="1" applyAlignment="1" quotePrefix="1">
      <alignment horizontal="right" vertical="center" wrapText="1"/>
    </xf>
    <xf numFmtId="0" fontId="13" fillId="0" borderId="11" xfId="0" applyFont="1" applyBorder="1" applyAlignment="1">
      <alignment horizontal="right" vertical="center" wrapText="1"/>
    </xf>
    <xf numFmtId="0" fontId="29" fillId="0" borderId="13" xfId="0" applyFont="1" applyBorder="1" applyAlignment="1">
      <alignment horizontal="center" wrapText="1"/>
    </xf>
    <xf numFmtId="0" fontId="37" fillId="34" borderId="22" xfId="0" applyFont="1" applyFill="1" applyBorder="1" applyAlignment="1">
      <alignment vertical="center" wrapText="1"/>
    </xf>
    <xf numFmtId="0" fontId="29" fillId="34" borderId="23" xfId="0" applyFont="1" applyFill="1" applyBorder="1" applyAlignment="1">
      <alignment/>
    </xf>
    <xf numFmtId="0" fontId="37" fillId="34" borderId="10" xfId="0" applyFont="1" applyFill="1" applyBorder="1" applyAlignment="1">
      <alignment horizontal="left" vertical="center" wrapText="1"/>
    </xf>
    <xf numFmtId="0" fontId="37" fillId="34" borderId="17" xfId="0" applyFont="1" applyFill="1" applyBorder="1" applyAlignment="1">
      <alignment horizontal="left" vertical="center" wrapText="1"/>
    </xf>
    <xf numFmtId="0" fontId="29" fillId="0" borderId="10" xfId="0" applyFont="1" applyBorder="1" applyAlignment="1">
      <alignment/>
    </xf>
    <xf numFmtId="0" fontId="29" fillId="0" borderId="12" xfId="0" applyFont="1" applyBorder="1" applyAlignment="1">
      <alignment horizontal="right"/>
    </xf>
    <xf numFmtId="1" fontId="29" fillId="0" borderId="13" xfId="0" applyNumberFormat="1" applyFont="1" applyBorder="1" applyAlignment="1">
      <alignment horizontal="center"/>
    </xf>
    <xf numFmtId="1" fontId="29" fillId="0" borderId="0" xfId="0" applyNumberFormat="1" applyFont="1" applyBorder="1" applyAlignment="1">
      <alignment horizontal="center"/>
    </xf>
    <xf numFmtId="0" fontId="29" fillId="0" borderId="12" xfId="0" applyFont="1" applyFill="1" applyBorder="1" applyAlignment="1">
      <alignment horizontal="right"/>
    </xf>
    <xf numFmtId="172" fontId="37" fillId="0" borderId="12" xfId="0" applyNumberFormat="1" applyFont="1" applyBorder="1" applyAlignment="1">
      <alignment horizontal="center"/>
    </xf>
    <xf numFmtId="0" fontId="38" fillId="0" borderId="11" xfId="0" applyFont="1" applyBorder="1" applyAlignment="1">
      <alignment horizontal="right" wrapText="1"/>
    </xf>
    <xf numFmtId="172" fontId="29" fillId="0" borderId="13" xfId="0" applyNumberFormat="1" applyFont="1" applyBorder="1" applyAlignment="1">
      <alignment horizontal="left"/>
    </xf>
    <xf numFmtId="0" fontId="38" fillId="0" borderId="10" xfId="0" applyFont="1" applyBorder="1" applyAlignment="1">
      <alignment horizontal="right" wrapText="1"/>
    </xf>
    <xf numFmtId="172" fontId="29" fillId="0" borderId="13" xfId="0" applyNumberFormat="1" applyFont="1" applyBorder="1" applyAlignment="1">
      <alignment horizontal="right"/>
    </xf>
    <xf numFmtId="0" fontId="29" fillId="0" borderId="11" xfId="0" applyFont="1" applyBorder="1" applyAlignment="1">
      <alignment horizontal="right"/>
    </xf>
    <xf numFmtId="172" fontId="29" fillId="0" borderId="14" xfId="0" applyNumberFormat="1" applyFont="1" applyBorder="1" applyAlignment="1">
      <alignment horizontal="center"/>
    </xf>
    <xf numFmtId="0" fontId="40" fillId="0" borderId="10" xfId="0" applyFont="1" applyBorder="1" applyAlignment="1" quotePrefix="1">
      <alignment horizontal="right"/>
    </xf>
    <xf numFmtId="2" fontId="29" fillId="0" borderId="13" xfId="0" applyNumberFormat="1" applyFont="1" applyBorder="1" applyAlignment="1">
      <alignment horizontal="center"/>
    </xf>
    <xf numFmtId="172" fontId="29" fillId="0" borderId="13" xfId="0" applyNumberFormat="1" applyFont="1" applyBorder="1" applyAlignment="1">
      <alignment horizontal="center"/>
    </xf>
    <xf numFmtId="0" fontId="40" fillId="0" borderId="11" xfId="0" applyFont="1" applyBorder="1" applyAlignment="1" quotePrefix="1">
      <alignment horizontal="right"/>
    </xf>
    <xf numFmtId="0" fontId="37" fillId="0" borderId="22" xfId="0" applyFont="1" applyBorder="1" applyAlignment="1" quotePrefix="1">
      <alignment horizontal="right" vertical="center" wrapText="1"/>
    </xf>
    <xf numFmtId="1" fontId="29" fillId="0" borderId="19" xfId="0" applyNumberFormat="1" applyFont="1" applyBorder="1" applyAlignment="1">
      <alignment horizontal="center"/>
    </xf>
    <xf numFmtId="0" fontId="40" fillId="0" borderId="11" xfId="0" applyFont="1" applyBorder="1" applyAlignment="1">
      <alignment horizontal="right" vertical="center" wrapText="1"/>
    </xf>
    <xf numFmtId="1" fontId="41" fillId="0" borderId="14" xfId="0" applyNumberFormat="1" applyFont="1" applyBorder="1" applyAlignment="1">
      <alignment horizontal="center" vertical="center" wrapText="1"/>
    </xf>
    <xf numFmtId="0" fontId="37" fillId="0" borderId="22" xfId="0" applyFont="1" applyBorder="1" applyAlignment="1">
      <alignment horizontal="right" vertical="center" wrapText="1"/>
    </xf>
    <xf numFmtId="0" fontId="37" fillId="0" borderId="11" xfId="0" applyFont="1" applyBorder="1" applyAlignment="1">
      <alignment horizontal="right" vertical="center" wrapText="1"/>
    </xf>
    <xf numFmtId="0" fontId="29" fillId="0" borderId="17" xfId="0" applyFont="1" applyBorder="1" applyAlignment="1">
      <alignment/>
    </xf>
    <xf numFmtId="0" fontId="29" fillId="0" borderId="12" xfId="0" applyFont="1" applyBorder="1" applyAlignment="1">
      <alignment/>
    </xf>
    <xf numFmtId="0" fontId="29" fillId="0" borderId="17" xfId="0" applyFont="1" applyFill="1" applyBorder="1" applyAlignment="1">
      <alignment horizontal="right"/>
    </xf>
    <xf numFmtId="172" fontId="29" fillId="0" borderId="12" xfId="0" applyNumberFormat="1" applyFont="1" applyBorder="1" applyAlignment="1">
      <alignment horizontal="center"/>
    </xf>
    <xf numFmtId="172" fontId="29" fillId="0" borderId="13" xfId="0" applyNumberFormat="1" applyFont="1" applyBorder="1" applyAlignment="1">
      <alignment/>
    </xf>
    <xf numFmtId="0" fontId="37" fillId="0" borderId="10" xfId="0" applyFont="1" applyBorder="1" applyAlignment="1">
      <alignment horizontal="left"/>
    </xf>
    <xf numFmtId="0" fontId="37" fillId="0" borderId="17" xfId="0" applyFont="1" applyBorder="1" applyAlignment="1">
      <alignment horizontal="left"/>
    </xf>
    <xf numFmtId="0" fontId="37" fillId="0" borderId="12" xfId="0" applyFont="1" applyBorder="1" applyAlignment="1">
      <alignment horizontal="left"/>
    </xf>
    <xf numFmtId="0" fontId="29" fillId="0" borderId="10" xfId="0" applyFont="1" applyBorder="1" applyAlignment="1">
      <alignment/>
    </xf>
    <xf numFmtId="172" fontId="29" fillId="0" borderId="21" xfId="0" applyNumberFormat="1" applyFont="1" applyBorder="1" applyAlignment="1">
      <alignment horizontal="center"/>
    </xf>
    <xf numFmtId="0" fontId="31" fillId="0" borderId="0" xfId="0" applyFont="1" applyBorder="1" applyAlignment="1">
      <alignment horizontal="left" vertical="top" wrapText="1"/>
    </xf>
    <xf numFmtId="0" fontId="0" fillId="0" borderId="0" xfId="0" applyFont="1" applyAlignment="1">
      <alignment/>
    </xf>
    <xf numFmtId="0" fontId="0" fillId="0" borderId="20" xfId="0" applyBorder="1" applyAlignment="1">
      <alignment horizontal="right"/>
    </xf>
    <xf numFmtId="0" fontId="0" fillId="0" borderId="14" xfId="0" applyFont="1" applyBorder="1" applyAlignment="1">
      <alignment horizontal="right"/>
    </xf>
    <xf numFmtId="0" fontId="17" fillId="0" borderId="0" xfId="0" applyFont="1" applyAlignment="1">
      <alignment horizontal="right"/>
    </xf>
    <xf numFmtId="0" fontId="17" fillId="0" borderId="0" xfId="0" applyFont="1" applyFill="1" applyAlignment="1">
      <alignment horizontal="right"/>
    </xf>
    <xf numFmtId="0" fontId="1" fillId="0" borderId="0" xfId="0" applyFont="1" applyAlignment="1">
      <alignment horizontal="right"/>
    </xf>
    <xf numFmtId="2" fontId="16" fillId="0" borderId="0" xfId="0" applyNumberFormat="1" applyFont="1" applyAlignment="1">
      <alignment horizontal="left"/>
    </xf>
    <xf numFmtId="0" fontId="29" fillId="0" borderId="0" xfId="0" applyFont="1" applyFill="1" applyAlignment="1">
      <alignment/>
    </xf>
    <xf numFmtId="2" fontId="29" fillId="0" borderId="0" xfId="0" applyNumberFormat="1" applyFont="1" applyFill="1" applyAlignment="1">
      <alignment horizontal="right"/>
    </xf>
    <xf numFmtId="2" fontId="29" fillId="0" borderId="0" xfId="0" applyNumberFormat="1" applyFont="1" applyFill="1" applyAlignment="1">
      <alignment/>
    </xf>
    <xf numFmtId="0" fontId="29" fillId="0" borderId="0" xfId="0" applyFont="1" applyFill="1" applyAlignment="1">
      <alignment horizontal="right"/>
    </xf>
    <xf numFmtId="0" fontId="0" fillId="0" borderId="0" xfId="0" applyFont="1" applyAlignment="1">
      <alignment horizontal="right"/>
    </xf>
    <xf numFmtId="0" fontId="5" fillId="3" borderId="0" xfId="0" applyFont="1" applyFill="1" applyAlignment="1">
      <alignment horizontal="left"/>
    </xf>
    <xf numFmtId="0" fontId="0" fillId="0" borderId="13" xfId="0" applyFont="1" applyFill="1" applyBorder="1" applyAlignment="1">
      <alignment horizontal="right"/>
    </xf>
    <xf numFmtId="0" fontId="8" fillId="0" borderId="13" xfId="0" applyFont="1" applyFill="1" applyBorder="1" applyAlignment="1">
      <alignment horizontal="right"/>
    </xf>
    <xf numFmtId="0" fontId="0" fillId="0" borderId="0" xfId="0" applyBorder="1" applyAlignment="1">
      <alignment horizontal="right"/>
    </xf>
    <xf numFmtId="0" fontId="21" fillId="0" borderId="0" xfId="0" applyFont="1" applyBorder="1" applyAlignment="1" quotePrefix="1">
      <alignment horizontal="right"/>
    </xf>
    <xf numFmtId="0" fontId="22" fillId="0" borderId="0" xfId="0" applyFont="1" applyBorder="1" applyAlignment="1" quotePrefix="1">
      <alignment horizontal="right"/>
    </xf>
    <xf numFmtId="0" fontId="12" fillId="0" borderId="0" xfId="0" applyFont="1" applyBorder="1" applyAlignment="1" quotePrefix="1">
      <alignment horizontal="right" vertical="center" wrapText="1"/>
    </xf>
    <xf numFmtId="0" fontId="10" fillId="0" borderId="0" xfId="0" applyFont="1" applyBorder="1" applyAlignment="1">
      <alignment horizontal="right" vertical="center" wrapText="1"/>
    </xf>
    <xf numFmtId="0" fontId="25" fillId="0" borderId="0" xfId="0" applyFont="1" applyBorder="1" applyAlignment="1">
      <alignment horizontal="right" vertical="center" wrapText="1"/>
    </xf>
    <xf numFmtId="0" fontId="13" fillId="0" borderId="0" xfId="0" applyFont="1" applyBorder="1" applyAlignment="1" quotePrefix="1">
      <alignment horizontal="right" vertical="center" wrapText="1"/>
    </xf>
    <xf numFmtId="0" fontId="13" fillId="0" borderId="0" xfId="0" applyFont="1" applyBorder="1" applyAlignment="1">
      <alignment horizontal="right" vertical="center" wrapText="1"/>
    </xf>
    <xf numFmtId="0" fontId="29" fillId="0" borderId="13" xfId="0" applyFont="1" applyFill="1" applyBorder="1" applyAlignment="1">
      <alignment horizontal="right"/>
    </xf>
    <xf numFmtId="0" fontId="37" fillId="0" borderId="12" xfId="0" applyFont="1" applyFill="1" applyBorder="1" applyAlignment="1">
      <alignment horizontal="left" vertical="center" wrapText="1"/>
    </xf>
    <xf numFmtId="0" fontId="38" fillId="0" borderId="11" xfId="0" applyFont="1" applyFill="1" applyBorder="1" applyAlignment="1">
      <alignment horizontal="right" wrapText="1"/>
    </xf>
    <xf numFmtId="0" fontId="38" fillId="0" borderId="10" xfId="0" applyFont="1" applyFill="1" applyBorder="1" applyAlignment="1">
      <alignment horizontal="right" wrapText="1"/>
    </xf>
    <xf numFmtId="0" fontId="29" fillId="0" borderId="11" xfId="0" applyFont="1" applyFill="1" applyBorder="1" applyAlignment="1">
      <alignment horizontal="right"/>
    </xf>
    <xf numFmtId="0" fontId="37" fillId="0" borderId="22" xfId="0" applyFont="1" applyFill="1" applyBorder="1" applyAlignment="1" quotePrefix="1">
      <alignment horizontal="right" vertical="center" wrapText="1"/>
    </xf>
    <xf numFmtId="0" fontId="40" fillId="0" borderId="11" xfId="0" applyFont="1" applyFill="1" applyBorder="1" applyAlignment="1">
      <alignment horizontal="right" vertical="center" wrapText="1"/>
    </xf>
    <xf numFmtId="0" fontId="37" fillId="0" borderId="22" xfId="0" applyFont="1" applyFill="1" applyBorder="1" applyAlignment="1">
      <alignment horizontal="right" vertical="center" wrapText="1"/>
    </xf>
    <xf numFmtId="0" fontId="37" fillId="0" borderId="11" xfId="0" applyFont="1" applyFill="1" applyBorder="1" applyAlignment="1">
      <alignment horizontal="right" vertical="center" wrapText="1"/>
    </xf>
    <xf numFmtId="0" fontId="1" fillId="0" borderId="12" xfId="0" applyFont="1" applyFill="1" applyBorder="1" applyAlignment="1">
      <alignment horizontal="left" vertical="center" wrapText="1"/>
    </xf>
    <xf numFmtId="0" fontId="34" fillId="0" borderId="12" xfId="0" applyFont="1" applyFill="1" applyBorder="1" applyAlignment="1">
      <alignment horizontal="left" vertical="center" wrapText="1"/>
    </xf>
    <xf numFmtId="0" fontId="34" fillId="0" borderId="13" xfId="0" applyFont="1" applyFill="1" applyBorder="1" applyAlignment="1">
      <alignment horizontal="left" vertical="center" wrapText="1"/>
    </xf>
    <xf numFmtId="0" fontId="0" fillId="3" borderId="0" xfId="0" applyFill="1" applyAlignment="1">
      <alignment horizontal="left"/>
    </xf>
    <xf numFmtId="0" fontId="5" fillId="35" borderId="0" xfId="0" applyFont="1" applyFill="1" applyAlignment="1">
      <alignment horizontal="left"/>
    </xf>
    <xf numFmtId="0" fontId="0" fillId="35" borderId="0" xfId="0" applyFill="1" applyAlignment="1">
      <alignment horizontal="left"/>
    </xf>
    <xf numFmtId="0" fontId="0" fillId="36" borderId="0" xfId="0" applyFill="1" applyAlignment="1">
      <alignment/>
    </xf>
    <xf numFmtId="0" fontId="1" fillId="36" borderId="0" xfId="0" applyFont="1" applyFill="1" applyAlignment="1">
      <alignment horizontal="right"/>
    </xf>
    <xf numFmtId="0" fontId="5" fillId="36" borderId="0" xfId="0" applyFont="1" applyFill="1" applyAlignment="1">
      <alignment horizontal="left"/>
    </xf>
    <xf numFmtId="0" fontId="0" fillId="36" borderId="0" xfId="0" applyFont="1" applyFill="1" applyAlignment="1">
      <alignment horizontal="right"/>
    </xf>
    <xf numFmtId="1" fontId="5" fillId="36" borderId="0" xfId="0" applyNumberFormat="1" applyFont="1" applyFill="1" applyAlignment="1">
      <alignment horizontal="center"/>
    </xf>
    <xf numFmtId="0" fontId="0" fillId="4" borderId="0" xfId="0" applyFill="1" applyAlignment="1">
      <alignment horizontal="center"/>
    </xf>
    <xf numFmtId="0" fontId="1" fillId="4" borderId="0" xfId="0" applyFont="1" applyFill="1" applyAlignment="1">
      <alignment horizontal="right"/>
    </xf>
    <xf numFmtId="0" fontId="0" fillId="4" borderId="0" xfId="0" applyFill="1" applyAlignment="1">
      <alignment/>
    </xf>
    <xf numFmtId="0" fontId="0" fillId="4" borderId="0" xfId="0" applyFont="1" applyFill="1" applyAlignment="1">
      <alignment horizontal="right"/>
    </xf>
    <xf numFmtId="2" fontId="16" fillId="4" borderId="0" xfId="0" applyNumberFormat="1" applyFont="1" applyFill="1" applyAlignment="1">
      <alignment/>
    </xf>
    <xf numFmtId="0" fontId="0" fillId="4" borderId="0" xfId="0" applyFill="1" applyAlignment="1">
      <alignment horizontal="right"/>
    </xf>
    <xf numFmtId="1" fontId="0" fillId="4" borderId="0" xfId="0" applyNumberFormat="1" applyFill="1" applyAlignment="1">
      <alignment/>
    </xf>
    <xf numFmtId="1" fontId="0" fillId="4" borderId="0" xfId="0" applyNumberFormat="1" applyFont="1" applyFill="1" applyAlignment="1">
      <alignment/>
    </xf>
    <xf numFmtId="2" fontId="0" fillId="4" borderId="0" xfId="0" applyNumberFormat="1" applyFont="1" applyFill="1" applyAlignment="1">
      <alignment horizontal="right"/>
    </xf>
    <xf numFmtId="2" fontId="0" fillId="4" borderId="0" xfId="0" applyNumberFormat="1" applyFill="1" applyAlignment="1">
      <alignment horizontal="right"/>
    </xf>
    <xf numFmtId="2" fontId="16" fillId="4" borderId="0" xfId="0" applyNumberFormat="1" applyFont="1" applyFill="1" applyAlignment="1">
      <alignment horizontal="right"/>
    </xf>
    <xf numFmtId="173" fontId="16" fillId="4" borderId="0" xfId="0" applyNumberFormat="1" applyFont="1" applyFill="1" applyAlignment="1">
      <alignment horizontal="right"/>
    </xf>
    <xf numFmtId="1" fontId="0" fillId="4" borderId="0" xfId="0" applyNumberFormat="1" applyFill="1" applyAlignment="1">
      <alignment horizontal="right"/>
    </xf>
    <xf numFmtId="0" fontId="0" fillId="4" borderId="0" xfId="0" applyFont="1" applyFill="1" applyBorder="1" applyAlignment="1">
      <alignment horizontal="right"/>
    </xf>
    <xf numFmtId="172" fontId="0" fillId="4" borderId="0" xfId="0" applyNumberFormat="1" applyFont="1" applyFill="1" applyBorder="1" applyAlignment="1">
      <alignment horizontal="right"/>
    </xf>
    <xf numFmtId="172" fontId="16" fillId="4" borderId="0" xfId="0" applyNumberFormat="1" applyFont="1" applyFill="1" applyAlignment="1">
      <alignment horizontal="right"/>
    </xf>
    <xf numFmtId="0" fontId="0" fillId="34" borderId="0" xfId="0" applyFill="1" applyAlignment="1">
      <alignment/>
    </xf>
    <xf numFmtId="2" fontId="1" fillId="34" borderId="0" xfId="0" applyNumberFormat="1" applyFont="1" applyFill="1" applyAlignment="1">
      <alignment horizontal="right"/>
    </xf>
    <xf numFmtId="2" fontId="0" fillId="34" borderId="0" xfId="0" applyNumberFormat="1" applyFill="1" applyAlignment="1">
      <alignment horizontal="right"/>
    </xf>
    <xf numFmtId="0" fontId="0" fillId="34" borderId="0" xfId="0" applyFont="1" applyFill="1" applyAlignment="1">
      <alignment horizontal="right"/>
    </xf>
    <xf numFmtId="172" fontId="16" fillId="34" borderId="0" xfId="0" applyNumberFormat="1" applyFont="1" applyFill="1" applyAlignment="1">
      <alignment horizontal="right"/>
    </xf>
    <xf numFmtId="2" fontId="16" fillId="34" borderId="0" xfId="0" applyNumberFormat="1" applyFont="1" applyFill="1" applyAlignment="1">
      <alignment horizontal="right"/>
    </xf>
    <xf numFmtId="173" fontId="16" fillId="34" borderId="0" xfId="0" applyNumberFormat="1" applyFont="1" applyFill="1" applyAlignment="1">
      <alignment horizontal="right"/>
    </xf>
    <xf numFmtId="1" fontId="0" fillId="34" borderId="0" xfId="0" applyNumberFormat="1" applyFill="1" applyAlignment="1">
      <alignment horizontal="right"/>
    </xf>
    <xf numFmtId="0" fontId="0" fillId="34" borderId="0" xfId="0" applyFont="1" applyFill="1" applyBorder="1" applyAlignment="1">
      <alignment horizontal="right"/>
    </xf>
    <xf numFmtId="172" fontId="0" fillId="34" borderId="0" xfId="0" applyNumberFormat="1" applyFont="1" applyFill="1" applyBorder="1" applyAlignment="1">
      <alignment horizontal="right"/>
    </xf>
    <xf numFmtId="172" fontId="0" fillId="34" borderId="0" xfId="0" applyNumberFormat="1" applyFill="1" applyAlignment="1">
      <alignment horizontal="right"/>
    </xf>
    <xf numFmtId="174" fontId="16" fillId="34" borderId="0" xfId="0" applyNumberFormat="1" applyFont="1" applyFill="1" applyAlignment="1">
      <alignment horizontal="right"/>
    </xf>
    <xf numFmtId="0" fontId="0" fillId="34" borderId="0" xfId="0" applyFill="1" applyAlignment="1">
      <alignment horizontal="right"/>
    </xf>
    <xf numFmtId="0" fontId="1" fillId="34" borderId="0" xfId="0" applyFont="1" applyFill="1" applyAlignment="1">
      <alignment/>
    </xf>
    <xf numFmtId="172" fontId="0" fillId="4" borderId="0" xfId="0" applyNumberFormat="1" applyFont="1" applyFill="1" applyAlignment="1">
      <alignment/>
    </xf>
    <xf numFmtId="172" fontId="0" fillId="4" borderId="0" xfId="0" applyNumberFormat="1" applyFont="1" applyFill="1" applyAlignment="1">
      <alignment horizontal="right"/>
    </xf>
    <xf numFmtId="172" fontId="16" fillId="4" borderId="0" xfId="0" applyNumberFormat="1" applyFont="1" applyFill="1" applyAlignment="1">
      <alignment/>
    </xf>
    <xf numFmtId="174" fontId="16" fillId="4" borderId="0" xfId="0" applyNumberFormat="1" applyFont="1" applyFill="1" applyAlignment="1">
      <alignment horizontal="right"/>
    </xf>
    <xf numFmtId="172" fontId="0" fillId="4" borderId="0" xfId="0" applyNumberFormat="1" applyFill="1" applyAlignment="1">
      <alignment/>
    </xf>
    <xf numFmtId="0" fontId="33" fillId="0" borderId="13" xfId="0" applyFont="1" applyFill="1" applyBorder="1" applyAlignment="1">
      <alignment/>
    </xf>
    <xf numFmtId="0" fontId="33" fillId="0" borderId="13" xfId="0" applyFont="1" applyBorder="1" applyAlignment="1">
      <alignment/>
    </xf>
    <xf numFmtId="0" fontId="1" fillId="0" borderId="0" xfId="0" applyFont="1" applyAlignment="1">
      <alignment/>
    </xf>
    <xf numFmtId="0" fontId="0" fillId="0" borderId="0" xfId="0" applyFont="1" applyFill="1" applyAlignment="1">
      <alignment/>
    </xf>
    <xf numFmtId="0" fontId="1" fillId="0" borderId="0" xfId="0" applyFont="1" applyFill="1" applyAlignment="1">
      <alignment/>
    </xf>
    <xf numFmtId="0" fontId="0" fillId="0" borderId="0" xfId="0" applyFont="1" applyFill="1" applyAlignment="1">
      <alignment/>
    </xf>
    <xf numFmtId="2" fontId="27" fillId="0" borderId="13" xfId="0" applyNumberFormat="1" applyFont="1" applyBorder="1" applyAlignment="1">
      <alignment horizontal="center"/>
    </xf>
    <xf numFmtId="2" fontId="0" fillId="0" borderId="0" xfId="0" applyNumberFormat="1" applyFont="1" applyAlignment="1">
      <alignment/>
    </xf>
    <xf numFmtId="172" fontId="45" fillId="0" borderId="13" xfId="0" applyNumberFormat="1" applyFont="1" applyBorder="1" applyAlignment="1">
      <alignment horizontal="center"/>
    </xf>
    <xf numFmtId="2" fontId="45" fillId="0" borderId="13" xfId="0" applyNumberFormat="1" applyFont="1" applyBorder="1" applyAlignment="1">
      <alignment horizontal="center"/>
    </xf>
    <xf numFmtId="2" fontId="46" fillId="4" borderId="0" xfId="0" applyNumberFormat="1" applyFont="1" applyFill="1" applyAlignment="1">
      <alignment/>
    </xf>
    <xf numFmtId="174" fontId="0" fillId="0" borderId="0" xfId="0" applyNumberFormat="1" applyFill="1" applyAlignment="1">
      <alignment horizontal="right"/>
    </xf>
    <xf numFmtId="172" fontId="46" fillId="4" borderId="0" xfId="0" applyNumberFormat="1" applyFont="1" applyFill="1" applyAlignment="1">
      <alignment/>
    </xf>
    <xf numFmtId="0" fontId="47" fillId="33" borderId="0" xfId="0" applyFont="1" applyFill="1" applyBorder="1" applyAlignment="1">
      <alignment horizontal="right"/>
    </xf>
    <xf numFmtId="2" fontId="47" fillId="33" borderId="13" xfId="0" applyNumberFormat="1" applyFont="1" applyFill="1" applyBorder="1" applyAlignment="1">
      <alignment horizontal="center"/>
    </xf>
    <xf numFmtId="172" fontId="47" fillId="33" borderId="13" xfId="0" applyNumberFormat="1" applyFont="1" applyFill="1" applyBorder="1" applyAlignment="1">
      <alignment horizontal="center"/>
    </xf>
    <xf numFmtId="2" fontId="26" fillId="0" borderId="13" xfId="0" applyNumberFormat="1" applyFont="1" applyBorder="1" applyAlignment="1">
      <alignment horizontal="center"/>
    </xf>
    <xf numFmtId="2" fontId="45" fillId="0" borderId="14" xfId="0" applyNumberFormat="1" applyFont="1" applyBorder="1" applyAlignment="1">
      <alignment horizontal="center"/>
    </xf>
    <xf numFmtId="0" fontId="38" fillId="0" borderId="10" xfId="0" applyFont="1" applyFill="1" applyBorder="1" applyAlignment="1">
      <alignment/>
    </xf>
    <xf numFmtId="0" fontId="38" fillId="0" borderId="0" xfId="0" applyFont="1" applyFill="1" applyBorder="1" applyAlignment="1">
      <alignment horizontal="right"/>
    </xf>
    <xf numFmtId="2" fontId="38" fillId="0" borderId="13" xfId="0" applyNumberFormat="1" applyFont="1" applyFill="1" applyBorder="1" applyAlignment="1">
      <alignment horizontal="center"/>
    </xf>
    <xf numFmtId="172" fontId="38" fillId="0" borderId="13" xfId="0" applyNumberFormat="1" applyFont="1" applyFill="1" applyBorder="1" applyAlignment="1">
      <alignment horizontal="center"/>
    </xf>
    <xf numFmtId="0" fontId="0" fillId="37" borderId="0" xfId="0" applyFill="1" applyAlignment="1">
      <alignment/>
    </xf>
    <xf numFmtId="0" fontId="0" fillId="37" borderId="0" xfId="0" applyFont="1" applyFill="1" applyAlignment="1">
      <alignment horizontal="right"/>
    </xf>
    <xf numFmtId="1" fontId="26" fillId="37" borderId="0" xfId="0" applyNumberFormat="1" applyFont="1" applyFill="1" applyAlignment="1">
      <alignment horizontal="center"/>
    </xf>
    <xf numFmtId="2" fontId="46" fillId="32" borderId="0" xfId="0" applyNumberFormat="1" applyFont="1" applyFill="1" applyAlignment="1">
      <alignment horizontal="right"/>
    </xf>
    <xf numFmtId="0" fontId="50" fillId="0" borderId="13" xfId="0" applyFont="1" applyBorder="1" applyAlignment="1">
      <alignment horizontal="center" wrapText="1"/>
    </xf>
    <xf numFmtId="2" fontId="16" fillId="0" borderId="0" xfId="0" applyNumberFormat="1" applyFont="1" applyBorder="1" applyAlignment="1">
      <alignment horizontal="right"/>
    </xf>
    <xf numFmtId="2" fontId="0" fillId="0" borderId="0" xfId="0" applyNumberFormat="1" applyFont="1" applyBorder="1" applyAlignment="1">
      <alignment/>
    </xf>
    <xf numFmtId="2" fontId="0" fillId="0" borderId="0" xfId="0" applyNumberFormat="1" applyFont="1" applyAlignment="1">
      <alignment/>
    </xf>
    <xf numFmtId="172" fontId="0" fillId="0" borderId="0" xfId="0" applyNumberFormat="1" applyFont="1" applyBorder="1" applyAlignment="1">
      <alignment/>
    </xf>
    <xf numFmtId="2" fontId="0" fillId="32" borderId="22" xfId="0" applyNumberFormat="1" applyFill="1" applyBorder="1" applyAlignment="1">
      <alignment horizontal="right"/>
    </xf>
    <xf numFmtId="0" fontId="0" fillId="32" borderId="23" xfId="0" applyFont="1" applyFill="1" applyBorder="1" applyAlignment="1">
      <alignment horizontal="right"/>
    </xf>
    <xf numFmtId="2" fontId="16" fillId="32" borderId="23" xfId="0" applyNumberFormat="1" applyFont="1" applyFill="1" applyBorder="1" applyAlignment="1">
      <alignment horizontal="right"/>
    </xf>
    <xf numFmtId="2" fontId="16" fillId="32" borderId="21" xfId="0" applyNumberFormat="1" applyFont="1" applyFill="1" applyBorder="1" applyAlignment="1">
      <alignment horizontal="right"/>
    </xf>
    <xf numFmtId="2" fontId="0" fillId="32" borderId="11" xfId="0" applyNumberFormat="1" applyFill="1" applyBorder="1" applyAlignment="1">
      <alignment horizontal="right"/>
    </xf>
    <xf numFmtId="0" fontId="0" fillId="32" borderId="18" xfId="0" applyFont="1" applyFill="1" applyBorder="1" applyAlignment="1">
      <alignment horizontal="right"/>
    </xf>
    <xf numFmtId="2" fontId="16" fillId="32" borderId="18" xfId="0" applyNumberFormat="1" applyFont="1" applyFill="1" applyBorder="1" applyAlignment="1">
      <alignment horizontal="right"/>
    </xf>
    <xf numFmtId="2" fontId="16" fillId="32" borderId="20" xfId="0" applyNumberFormat="1" applyFont="1" applyFill="1" applyBorder="1" applyAlignment="1">
      <alignment horizontal="right"/>
    </xf>
    <xf numFmtId="172" fontId="0" fillId="32" borderId="22" xfId="0" applyNumberFormat="1" applyFill="1" applyBorder="1" applyAlignment="1">
      <alignment horizontal="right"/>
    </xf>
    <xf numFmtId="172" fontId="0" fillId="32" borderId="23" xfId="0" applyNumberFormat="1" applyFill="1" applyBorder="1" applyAlignment="1">
      <alignment horizontal="right"/>
    </xf>
    <xf numFmtId="172" fontId="16" fillId="32" borderId="23" xfId="0" applyNumberFormat="1" applyFont="1" applyFill="1" applyBorder="1" applyAlignment="1">
      <alignment horizontal="right"/>
    </xf>
    <xf numFmtId="172" fontId="16" fillId="32" borderId="21" xfId="0" applyNumberFormat="1" applyFont="1" applyFill="1" applyBorder="1" applyAlignment="1">
      <alignment horizontal="right"/>
    </xf>
    <xf numFmtId="172" fontId="0" fillId="32" borderId="11" xfId="0" applyNumberFormat="1" applyFill="1" applyBorder="1" applyAlignment="1">
      <alignment horizontal="right"/>
    </xf>
    <xf numFmtId="172" fontId="16" fillId="32" borderId="18" xfId="0" applyNumberFormat="1" applyFont="1" applyFill="1" applyBorder="1" applyAlignment="1">
      <alignment horizontal="right"/>
    </xf>
    <xf numFmtId="172" fontId="16" fillId="32" borderId="20" xfId="0" applyNumberFormat="1" applyFont="1" applyFill="1" applyBorder="1" applyAlignment="1">
      <alignment horizontal="right"/>
    </xf>
    <xf numFmtId="174" fontId="16" fillId="32" borderId="23" xfId="0" applyNumberFormat="1" applyFont="1" applyFill="1" applyBorder="1" applyAlignment="1">
      <alignment horizontal="right"/>
    </xf>
    <xf numFmtId="174" fontId="16" fillId="32" borderId="21" xfId="0" applyNumberFormat="1" applyFont="1" applyFill="1" applyBorder="1" applyAlignment="1">
      <alignment horizontal="right"/>
    </xf>
    <xf numFmtId="1" fontId="16" fillId="32" borderId="0" xfId="0" applyNumberFormat="1" applyFont="1" applyFill="1" applyAlignment="1">
      <alignment horizontal="right"/>
    </xf>
    <xf numFmtId="2" fontId="5" fillId="36" borderId="0" xfId="0" applyNumberFormat="1" applyFont="1" applyFill="1" applyAlignment="1">
      <alignment horizontal="left"/>
    </xf>
    <xf numFmtId="2" fontId="0" fillId="34" borderId="0" xfId="0" applyNumberFormat="1" applyFont="1" applyFill="1" applyBorder="1" applyAlignment="1">
      <alignment horizontal="right"/>
    </xf>
    <xf numFmtId="0" fontId="50" fillId="0" borderId="12" xfId="0" applyFont="1" applyBorder="1" applyAlignment="1">
      <alignment horizontal="center" wrapText="1"/>
    </xf>
    <xf numFmtId="0" fontId="50" fillId="0" borderId="17" xfId="0" applyFont="1" applyBorder="1" applyAlignment="1">
      <alignment horizontal="center" wrapText="1"/>
    </xf>
    <xf numFmtId="0" fontId="5" fillId="0" borderId="0" xfId="0" applyFont="1" applyFill="1" applyAlignment="1">
      <alignment horizontal="left"/>
    </xf>
    <xf numFmtId="2" fontId="49" fillId="0" borderId="0" xfId="0" applyNumberFormat="1" applyFont="1" applyFill="1" applyAlignment="1">
      <alignment horizontal="center"/>
    </xf>
    <xf numFmtId="0" fontId="51" fillId="0" borderId="10" xfId="0" applyFont="1" applyBorder="1" applyAlignment="1" quotePrefix="1">
      <alignment horizontal="right"/>
    </xf>
    <xf numFmtId="0" fontId="52" fillId="0" borderId="11" xfId="0" applyFont="1" applyBorder="1" applyAlignment="1" quotePrefix="1">
      <alignment horizontal="right"/>
    </xf>
    <xf numFmtId="0" fontId="9" fillId="0" borderId="0" xfId="0" applyFont="1" applyBorder="1" applyAlignment="1">
      <alignment vertical="center" wrapText="1"/>
    </xf>
    <xf numFmtId="2" fontId="49" fillId="0" borderId="12" xfId="0" applyNumberFormat="1" applyFont="1" applyFill="1" applyBorder="1" applyAlignment="1">
      <alignment horizontal="center"/>
    </xf>
    <xf numFmtId="172" fontId="49" fillId="0" borderId="12" xfId="0" applyNumberFormat="1" applyFont="1" applyFill="1" applyBorder="1" applyAlignment="1">
      <alignment horizontal="center"/>
    </xf>
    <xf numFmtId="2" fontId="48" fillId="0" borderId="24" xfId="0" applyNumberFormat="1" applyFont="1" applyFill="1" applyBorder="1" applyAlignment="1">
      <alignment horizontal="center"/>
    </xf>
    <xf numFmtId="2" fontId="48" fillId="0" borderId="25" xfId="0" applyNumberFormat="1" applyFont="1" applyFill="1" applyBorder="1" applyAlignment="1">
      <alignment horizontal="center"/>
    </xf>
    <xf numFmtId="172" fontId="48" fillId="0" borderId="25" xfId="0" applyNumberFormat="1" applyFont="1" applyFill="1" applyBorder="1" applyAlignment="1">
      <alignment horizontal="center"/>
    </xf>
    <xf numFmtId="0" fontId="8" fillId="0" borderId="0" xfId="0" applyFont="1" applyAlignment="1">
      <alignment/>
    </xf>
    <xf numFmtId="0" fontId="0" fillId="0" borderId="0" xfId="0" applyFill="1" applyAlignment="1">
      <alignment horizontal="right"/>
    </xf>
    <xf numFmtId="0" fontId="0" fillId="0" borderId="26" xfId="0" applyFont="1" applyBorder="1" applyAlignment="1">
      <alignment horizontal="right"/>
    </xf>
    <xf numFmtId="0" fontId="0" fillId="0" borderId="0" xfId="0" applyFont="1" applyBorder="1" applyAlignment="1">
      <alignment horizontal="left" vertical="center"/>
    </xf>
    <xf numFmtId="0" fontId="30" fillId="5" borderId="18" xfId="0" applyFont="1" applyFill="1" applyBorder="1" applyAlignment="1">
      <alignment wrapText="1"/>
    </xf>
    <xf numFmtId="1" fontId="50" fillId="0" borderId="13" xfId="0" applyNumberFormat="1" applyFont="1" applyBorder="1" applyAlignment="1">
      <alignment horizontal="center" wrapText="1"/>
    </xf>
    <xf numFmtId="2" fontId="56" fillId="0" borderId="13" xfId="0" applyNumberFormat="1" applyFont="1" applyBorder="1" applyAlignment="1">
      <alignment horizontal="center"/>
    </xf>
    <xf numFmtId="0" fontId="50" fillId="0" borderId="13" xfId="0" applyFont="1" applyFill="1" applyBorder="1" applyAlignment="1">
      <alignment horizontal="center" wrapText="1"/>
    </xf>
    <xf numFmtId="0" fontId="8" fillId="0" borderId="27" xfId="0" applyFont="1" applyBorder="1" applyAlignment="1">
      <alignment wrapText="1"/>
    </xf>
    <xf numFmtId="0" fontId="0" fillId="0" borderId="28" xfId="0" applyFont="1" applyBorder="1" applyAlignment="1">
      <alignment horizontal="right"/>
    </xf>
    <xf numFmtId="0" fontId="0" fillId="0" borderId="29" xfId="0" applyFont="1" applyBorder="1" applyAlignment="1">
      <alignment horizontal="left" vertical="center"/>
    </xf>
    <xf numFmtId="0" fontId="9" fillId="0" borderId="27" xfId="0" applyFont="1" applyBorder="1" applyAlignment="1">
      <alignment vertical="center" wrapText="1"/>
    </xf>
    <xf numFmtId="0" fontId="0" fillId="0" borderId="27" xfId="0" applyBorder="1" applyAlignment="1">
      <alignment/>
    </xf>
    <xf numFmtId="0" fontId="0" fillId="0" borderId="0" xfId="0" applyFill="1" applyBorder="1" applyAlignment="1">
      <alignment horizontal="right"/>
    </xf>
    <xf numFmtId="2" fontId="48" fillId="0" borderId="0" xfId="0" applyNumberFormat="1" applyFont="1" applyFill="1" applyBorder="1" applyAlignment="1">
      <alignment horizontal="center"/>
    </xf>
    <xf numFmtId="1" fontId="43" fillId="0" borderId="13" xfId="0" applyNumberFormat="1" applyFont="1" applyFill="1" applyBorder="1" applyAlignment="1">
      <alignment horizontal="center"/>
    </xf>
    <xf numFmtId="172" fontId="49" fillId="0" borderId="13" xfId="0" applyNumberFormat="1" applyFont="1" applyFill="1" applyBorder="1" applyAlignment="1">
      <alignment horizontal="center"/>
    </xf>
    <xf numFmtId="2" fontId="49" fillId="0" borderId="13" xfId="0" applyNumberFormat="1" applyFont="1" applyFill="1" applyBorder="1" applyAlignment="1">
      <alignment horizontal="center"/>
    </xf>
    <xf numFmtId="1" fontId="49" fillId="0" borderId="13" xfId="0" applyNumberFormat="1" applyFont="1" applyFill="1" applyBorder="1" applyAlignment="1">
      <alignment horizontal="center"/>
    </xf>
    <xf numFmtId="2" fontId="48" fillId="0" borderId="30" xfId="0" applyNumberFormat="1" applyFont="1" applyFill="1" applyBorder="1" applyAlignment="1">
      <alignment horizontal="center"/>
    </xf>
    <xf numFmtId="0" fontId="0" fillId="0" borderId="0" xfId="0" applyFill="1" applyBorder="1" applyAlignment="1">
      <alignment/>
    </xf>
    <xf numFmtId="0" fontId="0" fillId="0" borderId="21" xfId="0" applyFill="1" applyBorder="1" applyAlignment="1">
      <alignment horizontal="right"/>
    </xf>
    <xf numFmtId="0" fontId="0" fillId="0" borderId="16" xfId="0" applyFill="1" applyBorder="1" applyAlignment="1">
      <alignment horizontal="right"/>
    </xf>
    <xf numFmtId="0" fontId="0" fillId="0" borderId="31" xfId="0" applyFill="1" applyBorder="1" applyAlignment="1">
      <alignment horizontal="right"/>
    </xf>
    <xf numFmtId="2" fontId="45" fillId="0" borderId="13" xfId="0" applyNumberFormat="1" applyFont="1" applyBorder="1" applyAlignment="1" quotePrefix="1">
      <alignment horizontal="center"/>
    </xf>
    <xf numFmtId="1" fontId="49" fillId="0" borderId="18" xfId="0" applyNumberFormat="1" applyFont="1" applyFill="1" applyBorder="1" applyAlignment="1">
      <alignment horizontal="center"/>
    </xf>
    <xf numFmtId="2" fontId="49" fillId="0" borderId="32" xfId="0" applyNumberFormat="1" applyFont="1" applyFill="1" applyBorder="1" applyAlignment="1">
      <alignment horizontal="center"/>
    </xf>
    <xf numFmtId="0" fontId="8" fillId="0" borderId="27" xfId="0" applyFont="1" applyBorder="1" applyAlignment="1">
      <alignment/>
    </xf>
    <xf numFmtId="2" fontId="16" fillId="4" borderId="0" xfId="0" applyNumberFormat="1" applyFont="1" applyFill="1" applyAlignment="1">
      <alignment/>
    </xf>
    <xf numFmtId="172" fontId="16" fillId="4" borderId="0" xfId="0" applyNumberFormat="1" applyFont="1" applyFill="1" applyAlignment="1">
      <alignment/>
    </xf>
    <xf numFmtId="2" fontId="0" fillId="0" borderId="0" xfId="0" applyNumberFormat="1" applyFill="1" applyAlignment="1">
      <alignment horizontal="left"/>
    </xf>
    <xf numFmtId="0" fontId="30" fillId="5" borderId="18" xfId="0" applyFont="1" applyFill="1" applyBorder="1" applyAlignment="1">
      <alignment horizontal="left" wrapText="1"/>
    </xf>
    <xf numFmtId="0" fontId="0" fillId="0" borderId="10" xfId="0" applyFont="1" applyBorder="1" applyAlignment="1">
      <alignment/>
    </xf>
    <xf numFmtId="0" fontId="8" fillId="0" borderId="12" xfId="0" applyFont="1" applyBorder="1" applyAlignment="1">
      <alignment horizontal="right"/>
    </xf>
    <xf numFmtId="1" fontId="0" fillId="0" borderId="12" xfId="0" applyNumberFormat="1" applyFont="1" applyFill="1" applyBorder="1" applyAlignment="1">
      <alignment horizontal="center"/>
    </xf>
    <xf numFmtId="0" fontId="0" fillId="0" borderId="0" xfId="0" applyFont="1" applyAlignment="1">
      <alignment/>
    </xf>
    <xf numFmtId="0" fontId="0" fillId="0" borderId="10" xfId="0" applyFont="1" applyBorder="1" applyAlignment="1">
      <alignment/>
    </xf>
    <xf numFmtId="1" fontId="0" fillId="0" borderId="12" xfId="0" applyNumberFormat="1" applyFont="1" applyBorder="1" applyAlignment="1">
      <alignment horizontal="center"/>
    </xf>
    <xf numFmtId="0" fontId="8" fillId="0" borderId="0" xfId="0" applyFont="1" applyBorder="1" applyAlignment="1">
      <alignment horizontal="right"/>
    </xf>
    <xf numFmtId="0" fontId="8" fillId="0" borderId="12" xfId="0" applyFont="1" applyFill="1" applyBorder="1" applyAlignment="1">
      <alignment horizontal="right"/>
    </xf>
    <xf numFmtId="0" fontId="8" fillId="0" borderId="0" xfId="0" applyFont="1" applyFill="1" applyAlignment="1">
      <alignment/>
    </xf>
    <xf numFmtId="0" fontId="8" fillId="0" borderId="27" xfId="0" applyFont="1" applyBorder="1" applyAlignment="1">
      <alignment/>
    </xf>
    <xf numFmtId="0" fontId="0" fillId="0" borderId="26" xfId="0" applyFont="1" applyBorder="1" applyAlignment="1">
      <alignment horizontal="right"/>
    </xf>
    <xf numFmtId="0" fontId="0" fillId="0" borderId="28" xfId="0" applyFont="1" applyBorder="1" applyAlignment="1">
      <alignment horizontal="right"/>
    </xf>
    <xf numFmtId="0" fontId="0" fillId="0" borderId="29" xfId="0" applyFont="1" applyBorder="1" applyAlignment="1">
      <alignment horizontal="left" vertical="center"/>
    </xf>
    <xf numFmtId="2" fontId="59" fillId="0" borderId="25" xfId="0" applyNumberFormat="1" applyFont="1" applyFill="1" applyBorder="1" applyAlignment="1">
      <alignment horizontal="center"/>
    </xf>
    <xf numFmtId="172" fontId="59" fillId="0" borderId="25" xfId="0" applyNumberFormat="1" applyFont="1" applyFill="1" applyBorder="1" applyAlignment="1">
      <alignment horizontal="center"/>
    </xf>
    <xf numFmtId="0" fontId="0" fillId="0" borderId="0" xfId="0" applyFont="1" applyFill="1" applyBorder="1" applyAlignment="1">
      <alignment horizontal="left"/>
    </xf>
    <xf numFmtId="2" fontId="59" fillId="0" borderId="33" xfId="0" applyNumberFormat="1" applyFont="1" applyFill="1" applyBorder="1" applyAlignment="1">
      <alignment horizontal="center"/>
    </xf>
    <xf numFmtId="172" fontId="59" fillId="0" borderId="34" xfId="0" applyNumberFormat="1" applyFont="1" applyFill="1" applyBorder="1" applyAlignment="1">
      <alignment horizontal="center"/>
    </xf>
    <xf numFmtId="2" fontId="59" fillId="0" borderId="34" xfId="0" applyNumberFormat="1" applyFont="1" applyFill="1" applyBorder="1" applyAlignment="1">
      <alignment horizontal="center"/>
    </xf>
    <xf numFmtId="0" fontId="0" fillId="0" borderId="0" xfId="0" applyFont="1" applyAlignment="1">
      <alignment horizontal="center"/>
    </xf>
    <xf numFmtId="2" fontId="49" fillId="0" borderId="0" xfId="0" applyNumberFormat="1" applyFont="1" applyFill="1" applyBorder="1" applyAlignment="1">
      <alignment horizontal="center"/>
    </xf>
    <xf numFmtId="0" fontId="60" fillId="0" borderId="0" xfId="0" applyFont="1" applyAlignment="1">
      <alignment/>
    </xf>
    <xf numFmtId="0" fontId="0" fillId="0" borderId="0" xfId="0" applyFont="1" applyFill="1" applyBorder="1" applyAlignment="1">
      <alignment horizontal="left"/>
    </xf>
    <xf numFmtId="0" fontId="8" fillId="0" borderId="10" xfId="0" applyFont="1" applyBorder="1" applyAlignment="1">
      <alignment horizontal="right" wrapText="1"/>
    </xf>
    <xf numFmtId="0" fontId="8" fillId="0" borderId="12" xfId="0" applyFont="1" applyBorder="1" applyAlignment="1">
      <alignment horizontal="right" wrapText="1"/>
    </xf>
    <xf numFmtId="0" fontId="36" fillId="0" borderId="22" xfId="0" applyFont="1" applyBorder="1" applyAlignment="1">
      <alignment horizontal="right" vertical="center" wrapText="1"/>
    </xf>
    <xf numFmtId="0" fontId="36" fillId="0" borderId="11" xfId="0" applyFont="1" applyBorder="1" applyAlignment="1">
      <alignment horizontal="right" vertical="center" wrapText="1"/>
    </xf>
    <xf numFmtId="0" fontId="57" fillId="0" borderId="22" xfId="0" applyFont="1" applyBorder="1" applyAlignment="1">
      <alignment horizontal="right" vertical="center" wrapText="1"/>
    </xf>
    <xf numFmtId="0" fontId="57" fillId="0" borderId="11" xfId="0" applyFont="1" applyBorder="1" applyAlignment="1">
      <alignment horizontal="right" vertical="center" wrapText="1"/>
    </xf>
    <xf numFmtId="0" fontId="37" fillId="0" borderId="22" xfId="0" applyFont="1" applyBorder="1" applyAlignment="1" quotePrefix="1">
      <alignment horizontal="right" vertical="center" wrapText="1"/>
    </xf>
    <xf numFmtId="0" fontId="37" fillId="0" borderId="11" xfId="0" applyFont="1" applyBorder="1" applyAlignment="1">
      <alignment horizontal="right" vertical="center" wrapText="1"/>
    </xf>
    <xf numFmtId="0" fontId="0" fillId="0" borderId="19" xfId="0" applyBorder="1" applyAlignment="1">
      <alignment horizontal="right" vertical="center" wrapText="1"/>
    </xf>
    <xf numFmtId="0" fontId="0" fillId="0" borderId="14" xfId="0" applyBorder="1" applyAlignment="1">
      <alignment horizontal="right" vertical="center" wrapText="1"/>
    </xf>
    <xf numFmtId="0" fontId="34" fillId="34" borderId="10" xfId="0" applyFont="1" applyFill="1" applyBorder="1" applyAlignment="1">
      <alignment horizontal="left" vertical="top" wrapText="1"/>
    </xf>
    <xf numFmtId="0" fontId="34" fillId="34" borderId="12" xfId="0" applyFont="1" applyFill="1" applyBorder="1" applyAlignment="1">
      <alignment horizontal="left" vertical="top" wrapText="1"/>
    </xf>
    <xf numFmtId="0" fontId="8" fillId="0" borderId="22" xfId="0" applyFont="1" applyBorder="1" applyAlignment="1">
      <alignment horizontal="right" vertical="center" wrapText="1"/>
    </xf>
    <xf numFmtId="0" fontId="8" fillId="0" borderId="15" xfId="0" applyFont="1" applyBorder="1" applyAlignment="1">
      <alignment horizontal="right" vertical="center" wrapText="1"/>
    </xf>
    <xf numFmtId="0" fontId="53" fillId="0" borderId="22" xfId="0" applyFont="1" applyBorder="1" applyAlignment="1" quotePrefix="1">
      <alignment horizontal="right" vertical="center" wrapText="1"/>
    </xf>
    <xf numFmtId="0" fontId="53" fillId="0" borderId="15" xfId="0" applyFont="1" applyBorder="1" applyAlignment="1">
      <alignment horizontal="right" vertical="center" wrapText="1"/>
    </xf>
    <xf numFmtId="0" fontId="8" fillId="0" borderId="10" xfId="0" applyFont="1" applyFill="1" applyBorder="1" applyAlignment="1">
      <alignment horizontal="right"/>
    </xf>
    <xf numFmtId="0" fontId="8" fillId="0" borderId="12" xfId="0" applyFont="1" applyFill="1" applyBorder="1" applyAlignment="1">
      <alignment horizontal="right"/>
    </xf>
    <xf numFmtId="0" fontId="0" fillId="0" borderId="15" xfId="0" applyFont="1" applyBorder="1" applyAlignment="1">
      <alignment horizontal="right" vertical="center" wrapText="1"/>
    </xf>
    <xf numFmtId="0" fontId="0" fillId="0" borderId="15" xfId="0" applyFont="1" applyBorder="1" applyAlignment="1">
      <alignment horizontal="right" vertical="center"/>
    </xf>
    <xf numFmtId="0" fontId="0" fillId="0" borderId="11" xfId="0" applyFont="1" applyBorder="1" applyAlignment="1">
      <alignment horizontal="right" vertical="center"/>
    </xf>
    <xf numFmtId="0" fontId="1" fillId="3" borderId="10"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53" fillId="0" borderId="22" xfId="0" applyFont="1" applyBorder="1" applyAlignment="1">
      <alignment horizontal="right" vertical="center" wrapText="1"/>
    </xf>
    <xf numFmtId="0" fontId="53" fillId="0" borderId="11" xfId="0" applyFont="1" applyBorder="1" applyAlignment="1">
      <alignment horizontal="right" vertical="center" wrapText="1"/>
    </xf>
    <xf numFmtId="0" fontId="40" fillId="0" borderId="11" xfId="0" applyFont="1" applyBorder="1" applyAlignment="1">
      <alignment horizontal="right" vertical="center" wrapText="1"/>
    </xf>
    <xf numFmtId="0" fontId="37" fillId="0" borderId="22" xfId="0" applyFont="1" applyBorder="1" applyAlignment="1">
      <alignment horizontal="right" vertical="center" wrapText="1"/>
    </xf>
    <xf numFmtId="0" fontId="39" fillId="0" borderId="22" xfId="0" applyFont="1" applyBorder="1" applyAlignment="1">
      <alignment horizontal="right" vertical="center" wrapText="1"/>
    </xf>
    <xf numFmtId="0" fontId="39" fillId="0" borderId="11" xfId="0" applyFont="1" applyBorder="1" applyAlignment="1">
      <alignment horizontal="right" vertical="center" wrapText="1"/>
    </xf>
    <xf numFmtId="0" fontId="0" fillId="0" borderId="15" xfId="0" applyBorder="1" applyAlignment="1">
      <alignment horizontal="right" vertical="center" wrapText="1"/>
    </xf>
    <xf numFmtId="0" fontId="0" fillId="0" borderId="15" xfId="0" applyBorder="1" applyAlignment="1">
      <alignment horizontal="right" vertical="center"/>
    </xf>
    <xf numFmtId="0" fontId="0" fillId="0" borderId="11" xfId="0" applyBorder="1" applyAlignment="1">
      <alignment horizontal="right" vertical="center"/>
    </xf>
    <xf numFmtId="0" fontId="0" fillId="0" borderId="35" xfId="0" applyBorder="1" applyAlignment="1">
      <alignment horizontal="right" vertical="center"/>
    </xf>
    <xf numFmtId="0" fontId="29" fillId="0" borderId="19" xfId="0" applyFont="1" applyBorder="1" applyAlignment="1">
      <alignment horizontal="right" vertical="center" wrapText="1"/>
    </xf>
    <xf numFmtId="0" fontId="29" fillId="0" borderId="14" xfId="0" applyFont="1" applyBorder="1" applyAlignment="1">
      <alignment horizontal="right" vertical="center" wrapText="1"/>
    </xf>
    <xf numFmtId="0" fontId="38" fillId="0" borderId="22" xfId="0" applyFont="1" applyBorder="1" applyAlignment="1">
      <alignment horizontal="right" vertical="center" wrapText="1"/>
    </xf>
    <xf numFmtId="0" fontId="38" fillId="0" borderId="15" xfId="0" applyFont="1" applyBorder="1" applyAlignment="1">
      <alignment horizontal="right" vertical="center" wrapText="1"/>
    </xf>
    <xf numFmtId="0" fontId="38" fillId="0" borderId="11" xfId="0" applyFont="1" applyBorder="1" applyAlignment="1">
      <alignment horizontal="right" vertical="center" wrapText="1"/>
    </xf>
    <xf numFmtId="0" fontId="29" fillId="0" borderId="15" xfId="0" applyFont="1" applyBorder="1" applyAlignment="1">
      <alignment horizontal="right" vertical="center" wrapText="1"/>
    </xf>
    <xf numFmtId="0" fontId="29" fillId="0" borderId="15" xfId="0" applyFont="1" applyBorder="1" applyAlignment="1">
      <alignment horizontal="right" vertical="center"/>
    </xf>
    <xf numFmtId="0" fontId="29" fillId="0" borderId="11" xfId="0" applyFont="1" applyBorder="1" applyAlignment="1">
      <alignment horizontal="right" vertical="center"/>
    </xf>
    <xf numFmtId="0" fontId="37" fillId="4" borderId="10" xfId="0" applyFont="1" applyFill="1" applyBorder="1" applyAlignment="1">
      <alignment horizontal="left" vertical="center" wrapText="1"/>
    </xf>
    <xf numFmtId="0" fontId="37" fillId="4" borderId="12" xfId="0" applyFont="1" applyFill="1" applyBorder="1" applyAlignment="1">
      <alignment horizontal="left" vertical="center" wrapText="1"/>
    </xf>
    <xf numFmtId="0" fontId="55" fillId="0" borderId="22" xfId="0" applyFont="1" applyBorder="1" applyAlignment="1" quotePrefix="1">
      <alignment horizontal="right" vertical="center" wrapText="1"/>
    </xf>
    <xf numFmtId="0" fontId="21" fillId="0" borderId="11" xfId="0" applyFont="1" applyBorder="1" applyAlignment="1">
      <alignment horizontal="right" vertical="center" wrapText="1"/>
    </xf>
    <xf numFmtId="0" fontId="54" fillId="0" borderId="22" xfId="0" applyFont="1" applyBorder="1" applyAlignment="1">
      <alignment horizontal="right" vertical="center" wrapText="1"/>
    </xf>
    <xf numFmtId="0" fontId="54" fillId="0" borderId="11" xfId="0" applyFont="1" applyBorder="1" applyAlignment="1">
      <alignment horizontal="right" vertical="center" wrapText="1"/>
    </xf>
    <xf numFmtId="0" fontId="55" fillId="0" borderId="22" xfId="0" applyFont="1" applyBorder="1" applyAlignment="1">
      <alignment horizontal="right" vertical="center" wrapText="1"/>
    </xf>
    <xf numFmtId="0" fontId="0" fillId="0" borderId="19" xfId="0" applyFont="1" applyBorder="1" applyAlignment="1">
      <alignment horizontal="right" vertical="center" wrapText="1"/>
    </xf>
    <xf numFmtId="0" fontId="0" fillId="0" borderId="35" xfId="0" applyFont="1" applyBorder="1" applyAlignment="1">
      <alignment horizontal="right" vertical="center" wrapText="1"/>
    </xf>
    <xf numFmtId="0" fontId="0" fillId="0" borderId="14" xfId="0" applyFont="1" applyBorder="1" applyAlignment="1">
      <alignment horizontal="right" vertical="center"/>
    </xf>
    <xf numFmtId="0" fontId="29" fillId="0" borderId="22" xfId="0" applyFont="1" applyBorder="1" applyAlignment="1">
      <alignment horizontal="right" vertical="center" wrapText="1"/>
    </xf>
    <xf numFmtId="0" fontId="29" fillId="0" borderId="11" xfId="0" applyFont="1" applyBorder="1" applyAlignment="1">
      <alignment horizontal="right" vertical="center" wrapText="1"/>
    </xf>
    <xf numFmtId="0" fontId="8" fillId="0" borderId="11" xfId="0" applyFont="1" applyBorder="1" applyAlignment="1">
      <alignment horizontal="right" vertical="center" wrapText="1"/>
    </xf>
    <xf numFmtId="0" fontId="34" fillId="4" borderId="10" xfId="0" applyFont="1" applyFill="1" applyBorder="1" applyAlignment="1">
      <alignment horizontal="left" vertical="top" wrapText="1"/>
    </xf>
    <xf numFmtId="0" fontId="34" fillId="4" borderId="12" xfId="0" applyFont="1" applyFill="1" applyBorder="1" applyAlignment="1">
      <alignment horizontal="left" vertical="top" wrapText="1"/>
    </xf>
    <xf numFmtId="0" fontId="34" fillId="4" borderId="10" xfId="0" applyFont="1" applyFill="1" applyBorder="1" applyAlignment="1">
      <alignment horizontal="left" vertical="center" wrapText="1"/>
    </xf>
    <xf numFmtId="0" fontId="34" fillId="4" borderId="12" xfId="0" applyFont="1" applyFill="1" applyBorder="1" applyAlignment="1">
      <alignment horizontal="left" vertical="center" wrapText="1"/>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31" fillId="0" borderId="10" xfId="0" applyFont="1" applyBorder="1" applyAlignment="1">
      <alignment horizontal="left" vertical="top" wrapText="1"/>
    </xf>
    <xf numFmtId="0" fontId="31" fillId="0" borderId="12" xfId="0" applyFont="1" applyBorder="1" applyAlignment="1">
      <alignment horizontal="left" vertical="top" wrapText="1"/>
    </xf>
    <xf numFmtId="0" fontId="8" fillId="0" borderId="15" xfId="0" applyFont="1" applyBorder="1" applyAlignment="1">
      <alignment horizontal="right" vertical="center"/>
    </xf>
    <xf numFmtId="0" fontId="8" fillId="0" borderId="11" xfId="0" applyFont="1" applyBorder="1" applyAlignment="1">
      <alignment horizontal="right" vertical="center"/>
    </xf>
    <xf numFmtId="0" fontId="1" fillId="35" borderId="10" xfId="0" applyFont="1" applyFill="1" applyBorder="1" applyAlignment="1">
      <alignment horizontal="left" vertical="center" wrapText="1"/>
    </xf>
    <xf numFmtId="0" fontId="1" fillId="35" borderId="12" xfId="0" applyFont="1" applyFill="1" applyBorder="1" applyAlignment="1">
      <alignment horizontal="left" vertical="center" wrapText="1"/>
    </xf>
    <xf numFmtId="0" fontId="8" fillId="0" borderId="19" xfId="0" applyFont="1" applyBorder="1" applyAlignment="1">
      <alignment horizontal="right" vertical="center" wrapText="1"/>
    </xf>
    <xf numFmtId="0" fontId="8" fillId="0" borderId="35" xfId="0" applyFont="1" applyBorder="1" applyAlignment="1">
      <alignment horizontal="right" vertical="center" wrapText="1"/>
    </xf>
    <xf numFmtId="0" fontId="8" fillId="0" borderId="14" xfId="0" applyFont="1" applyBorder="1" applyAlignment="1">
      <alignment horizontal="right" vertical="center" wrapText="1"/>
    </xf>
    <xf numFmtId="0" fontId="53" fillId="0" borderId="19" xfId="0" applyFont="1" applyBorder="1" applyAlignment="1">
      <alignment horizontal="right" vertical="center" wrapText="1"/>
    </xf>
    <xf numFmtId="0" fontId="53" fillId="0" borderId="14" xfId="0" applyFont="1" applyBorder="1" applyAlignment="1">
      <alignment horizontal="right" vertical="center" wrapText="1"/>
    </xf>
    <xf numFmtId="0" fontId="29" fillId="0" borderId="15" xfId="0" applyFont="1" applyBorder="1" applyAlignment="1">
      <alignment horizontal="right" vertical="center" wrapText="1"/>
    </xf>
    <xf numFmtId="0" fontId="29" fillId="0" borderId="15" xfId="0" applyFont="1" applyBorder="1" applyAlignment="1">
      <alignment horizontal="right" vertical="center"/>
    </xf>
    <xf numFmtId="0" fontId="29" fillId="0" borderId="11" xfId="0" applyFont="1" applyBorder="1" applyAlignment="1">
      <alignment horizontal="right" vertical="center"/>
    </xf>
    <xf numFmtId="0" fontId="55" fillId="0" borderId="19" xfId="0" applyFont="1" applyBorder="1" applyAlignment="1">
      <alignment horizontal="right" vertical="center" wrapText="1"/>
    </xf>
    <xf numFmtId="0" fontId="55" fillId="0" borderId="14" xfId="0" applyFont="1" applyBorder="1" applyAlignment="1">
      <alignment horizontal="right" vertical="center" wrapText="1"/>
    </xf>
    <xf numFmtId="0" fontId="54" fillId="0" borderId="19" xfId="0" applyFont="1" applyBorder="1" applyAlignment="1">
      <alignment horizontal="right" vertical="center" wrapText="1"/>
    </xf>
    <xf numFmtId="0" fontId="54" fillId="0" borderId="14" xfId="0" applyFont="1" applyBorder="1" applyAlignment="1">
      <alignment horizontal="righ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Pre2-Pre1</a:t>
            </a:r>
          </a:p>
        </c:rich>
      </c:tx>
      <c:layout>
        <c:manualLayout>
          <c:xMode val="factor"/>
          <c:yMode val="factor"/>
          <c:x val="-0.39425"/>
          <c:y val="0.04525"/>
        </c:manualLayout>
      </c:layout>
      <c:spPr>
        <a:noFill/>
        <a:ln>
          <a:noFill/>
        </a:ln>
      </c:spPr>
    </c:title>
    <c:plotArea>
      <c:layout>
        <c:manualLayout>
          <c:xMode val="edge"/>
          <c:yMode val="edge"/>
          <c:x val="0"/>
          <c:y val="0.1495"/>
          <c:w val="1"/>
          <c:h val="0.793"/>
        </c:manualLayout>
      </c:layout>
      <c:scatterChart>
        <c:scatterStyle val="lineMarker"/>
        <c:varyColors val="0"/>
        <c:ser>
          <c:idx val="0"/>
          <c:order val="0"/>
          <c:tx>
            <c:strRef>
              <c:f>'Sheet 1'!$B$42</c:f>
              <c:strCache>
                <c:ptCount val="1"/>
                <c:pt idx="0">
                  <c:v>Control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000000"/>
                </a:solidFill>
              </a:ln>
            </c:spPr>
          </c:marker>
          <c:trendline>
            <c:spPr>
              <a:ln w="25400">
                <a:solidFill>
                  <a:srgbClr val="0000FF"/>
                </a:solidFill>
              </a:ln>
            </c:spPr>
            <c:trendlineType val="linear"/>
            <c:dispEq val="0"/>
            <c:dispRSqr val="0"/>
          </c:trendline>
          <c:xVal>
            <c:numRef>
              <c:f>'Sheet 1'!$D$42:$D$61</c:f>
              <c:numCache/>
            </c:numRef>
          </c:xVal>
          <c:yVal>
            <c:numRef>
              <c:f>'Sheet 1'!$K$42:$K$61</c:f>
              <c:numCache/>
            </c:numRef>
          </c:yVal>
          <c:smooth val="0"/>
        </c:ser>
        <c:ser>
          <c:idx val="1"/>
          <c:order val="1"/>
          <c:tx>
            <c:strRef>
              <c:f>'Sheet 1'!$B$73</c:f>
              <c:strCache>
                <c:ptCount val="1"/>
                <c:pt idx="0">
                  <c:v>Exptal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000000"/>
                </a:solidFill>
              </a:ln>
            </c:spPr>
          </c:marker>
          <c:trendline>
            <c:spPr>
              <a:ln w="25400">
                <a:solidFill>
                  <a:srgbClr val="FF0000"/>
                </a:solidFill>
              </a:ln>
            </c:spPr>
            <c:trendlineType val="linear"/>
            <c:dispEq val="0"/>
            <c:dispRSqr val="0"/>
          </c:trendline>
          <c:xVal>
            <c:numRef>
              <c:f>'Sheet 1'!$D$73:$D$92</c:f>
              <c:numCache/>
            </c:numRef>
          </c:xVal>
          <c:yVal>
            <c:numRef>
              <c:f>'Sheet 1'!$K$73:$K$92</c:f>
              <c:numCache/>
            </c:numRef>
          </c:yVal>
          <c:smooth val="0"/>
        </c:ser>
        <c:ser>
          <c:idx val="2"/>
          <c:order val="2"/>
          <c:tx>
            <c:v>Value of X</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1'!$J$108:$J$109</c:f>
              <c:numCache/>
            </c:numRef>
          </c:xVal>
          <c:yVal>
            <c:numRef>
              <c:f>'Sheet 1'!$K$106:$K$107</c:f>
              <c:numCache/>
            </c:numRef>
          </c:yVal>
          <c:smooth val="0"/>
        </c:ser>
        <c:axId val="20912283"/>
        <c:axId val="53992820"/>
      </c:scatterChart>
      <c:valAx>
        <c:axId val="20912283"/>
        <c:scaling>
          <c:orientation val="minMax"/>
        </c:scaling>
        <c:axPos val="b"/>
        <c:title>
          <c:tx>
            <c:rich>
              <a:bodyPr vert="horz" rot="0" anchor="ctr"/>
              <a:lstStyle/>
              <a:p>
                <a:pPr algn="ctr">
                  <a:defRPr/>
                </a:pPr>
                <a:r>
                  <a:rPr lang="en-US" cap="none" sz="900" b="0" i="0" u="none" baseline="0">
                    <a:solidFill>
                      <a:srgbClr val="000000"/>
                    </a:solidFill>
                  </a:rPr>
                  <a:t>X</a:t>
                </a:r>
              </a:p>
            </c:rich>
          </c:tx>
          <c:layout>
            <c:manualLayout>
              <c:xMode val="factor"/>
              <c:yMode val="factor"/>
              <c:x val="0.023"/>
              <c:y val="0.003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3992820"/>
        <c:crosses val="autoZero"/>
        <c:crossBetween val="midCat"/>
        <c:dispUnits/>
      </c:valAx>
      <c:valAx>
        <c:axId val="53992820"/>
        <c:scaling>
          <c:orientation val="minMax"/>
        </c:scaling>
        <c:axPos val="l"/>
        <c:delete val="0"/>
        <c:numFmt formatCode="General" sourceLinked="1"/>
        <c:majorTickMark val="out"/>
        <c:minorTickMark val="none"/>
        <c:tickLblPos val="nextTo"/>
        <c:spPr>
          <a:ln w="3175">
            <a:solidFill>
              <a:srgbClr val="000000"/>
            </a:solidFill>
          </a:ln>
        </c:spPr>
        <c:crossAx val="20912283"/>
        <c:crosses val="autoZero"/>
        <c:crossBetween val="midCat"/>
        <c:dispUnits/>
      </c:valAx>
      <c:spPr>
        <a:solidFill>
          <a:srgbClr val="FFFFFF"/>
        </a:solidFill>
        <a:ln w="12700">
          <a:solidFill>
            <a:srgbClr val="808080"/>
          </a:solidFill>
        </a:ln>
      </c:spPr>
    </c:plotArea>
    <c:legend>
      <c:legendPos val="r"/>
      <c:layout>
        <c:manualLayout>
          <c:xMode val="edge"/>
          <c:yMode val="edge"/>
          <c:x val="0.48075"/>
          <c:y val="0.007"/>
          <c:w val="0.50325"/>
          <c:h val="0.184"/>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C0C0C0"/>
    </a:solidFill>
    <a:ln w="3175">
      <a:solidFill>
        <a:srgbClr val="000000"/>
      </a:solidFill>
    </a:ln>
  </c:spPr>
  <c:txPr>
    <a:bodyPr vert="horz" rot="0"/>
    <a:lstStyle/>
    <a:p>
      <a:pPr>
        <a:defRPr lang="en-US" cap="none" sz="9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Post1-Pre2</a:t>
            </a:r>
          </a:p>
        </c:rich>
      </c:tx>
      <c:layout>
        <c:manualLayout>
          <c:xMode val="factor"/>
          <c:yMode val="factor"/>
          <c:x val="-0.391"/>
          <c:y val="0.044"/>
        </c:manualLayout>
      </c:layout>
      <c:spPr>
        <a:noFill/>
        <a:ln>
          <a:noFill/>
        </a:ln>
      </c:spPr>
    </c:title>
    <c:plotArea>
      <c:layout>
        <c:manualLayout>
          <c:xMode val="edge"/>
          <c:yMode val="edge"/>
          <c:x val="0"/>
          <c:y val="0.225"/>
          <c:w val="1"/>
          <c:h val="0.697"/>
        </c:manualLayout>
      </c:layout>
      <c:scatterChart>
        <c:scatterStyle val="lineMarker"/>
        <c:varyColors val="0"/>
        <c:ser>
          <c:idx val="0"/>
          <c:order val="0"/>
          <c:tx>
            <c:strRef>
              <c:f>'Sheet 1'!$B$42</c:f>
              <c:strCache>
                <c:ptCount val="1"/>
                <c:pt idx="0">
                  <c:v>Control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000000"/>
                </a:solidFill>
              </a:ln>
            </c:spPr>
          </c:marker>
          <c:trendline>
            <c:name>Control</c:name>
            <c:spPr>
              <a:ln w="25400">
                <a:solidFill>
                  <a:srgbClr val="0000FF"/>
                </a:solidFill>
              </a:ln>
            </c:spPr>
            <c:trendlineType val="linear"/>
            <c:dispEq val="0"/>
            <c:dispRSqr val="0"/>
          </c:trendline>
          <c:xVal>
            <c:numRef>
              <c:f>'Sheet 1'!$AJ$42:$AJ$61</c:f>
              <c:numCache/>
            </c:numRef>
          </c:xVal>
          <c:yVal>
            <c:numRef>
              <c:f>'Sheet 1'!$AR$42:$AR$61</c:f>
              <c:numCache/>
            </c:numRef>
          </c:yVal>
          <c:smooth val="0"/>
        </c:ser>
        <c:ser>
          <c:idx val="1"/>
          <c:order val="1"/>
          <c:tx>
            <c:strRef>
              <c:f>'Sheet 1'!$B$73</c:f>
              <c:strCache>
                <c:ptCount val="1"/>
                <c:pt idx="0">
                  <c:v>Exptal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000000"/>
                </a:solidFill>
              </a:ln>
            </c:spPr>
          </c:marker>
          <c:trendline>
            <c:name>Exptal</c:name>
            <c:spPr>
              <a:ln w="25400">
                <a:solidFill>
                  <a:srgbClr val="FF0000"/>
                </a:solidFill>
              </a:ln>
            </c:spPr>
            <c:trendlineType val="linear"/>
            <c:dispEq val="0"/>
            <c:dispRSqr val="0"/>
          </c:trendline>
          <c:xVal>
            <c:numRef>
              <c:f>'Sheet 1'!$AJ$73:$AJ$92</c:f>
              <c:numCache/>
            </c:numRef>
          </c:xVal>
          <c:yVal>
            <c:numRef>
              <c:f>'Sheet 1'!$AR$73:$AR$92</c:f>
              <c:numCache/>
            </c:numRef>
          </c:yVal>
          <c:smooth val="0"/>
        </c:ser>
        <c:ser>
          <c:idx val="2"/>
          <c:order val="2"/>
          <c:tx>
            <c:v>Value of X</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1'!$AP$108:$AP$109</c:f>
              <c:numCache/>
            </c:numRef>
          </c:xVal>
          <c:yVal>
            <c:numRef>
              <c:f>'Sheet 1'!$AR$106:$AR$107</c:f>
              <c:numCache/>
            </c:numRef>
          </c:yVal>
          <c:smooth val="0"/>
        </c:ser>
        <c:axId val="63451493"/>
        <c:axId val="34192526"/>
      </c:scatterChart>
      <c:valAx>
        <c:axId val="63451493"/>
        <c:scaling>
          <c:orientation val="minMax"/>
        </c:scaling>
        <c:axPos val="b"/>
        <c:title>
          <c:tx>
            <c:rich>
              <a:bodyPr vert="horz" rot="0" anchor="ctr"/>
              <a:lstStyle/>
              <a:p>
                <a:pPr algn="ctr">
                  <a:defRPr/>
                </a:pPr>
                <a:r>
                  <a:rPr lang="en-US" cap="none" sz="900" b="0" i="0" u="none" baseline="0">
                    <a:solidFill>
                      <a:srgbClr val="000000"/>
                    </a:solidFill>
                  </a:rPr>
                  <a:t>X</a:t>
                </a:r>
              </a:p>
            </c:rich>
          </c:tx>
          <c:layout>
            <c:manualLayout>
              <c:xMode val="factor"/>
              <c:yMode val="factor"/>
              <c:x val="0.0195"/>
              <c:y val="0.005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4192526"/>
        <c:crosses val="autoZero"/>
        <c:crossBetween val="midCat"/>
        <c:dispUnits/>
      </c:valAx>
      <c:valAx>
        <c:axId val="34192526"/>
        <c:scaling>
          <c:orientation val="minMax"/>
        </c:scaling>
        <c:axPos val="l"/>
        <c:delete val="0"/>
        <c:numFmt formatCode="General" sourceLinked="1"/>
        <c:majorTickMark val="out"/>
        <c:minorTickMark val="none"/>
        <c:tickLblPos val="nextTo"/>
        <c:spPr>
          <a:ln w="3175">
            <a:solidFill>
              <a:srgbClr val="000000"/>
            </a:solidFill>
          </a:ln>
        </c:spPr>
        <c:crossAx val="63451493"/>
        <c:crosses val="autoZero"/>
        <c:crossBetween val="midCat"/>
        <c:dispUnits/>
      </c:valAx>
      <c:spPr>
        <a:solidFill>
          <a:srgbClr val="FFFFFF"/>
        </a:solidFill>
        <a:ln w="12700">
          <a:solidFill>
            <a:srgbClr val="808080"/>
          </a:solidFill>
        </a:ln>
      </c:spPr>
    </c:plotArea>
    <c:legend>
      <c:legendPos val="r"/>
      <c:layout>
        <c:manualLayout>
          <c:xMode val="edge"/>
          <c:yMode val="edge"/>
          <c:x val="0.48725"/>
          <c:y val="0.017"/>
          <c:w val="0.47425"/>
          <c:h val="0.209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C0C0C0"/>
    </a:solidFill>
    <a:ln w="3175">
      <a:solidFill>
        <a:srgbClr val="000000"/>
      </a:solidFill>
    </a:ln>
  </c:spPr>
  <c:txPr>
    <a:bodyPr vert="horz" rot="0"/>
    <a:lstStyle/>
    <a:p>
      <a:pPr>
        <a:defRPr lang="en-US" cap="none" sz="9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Post2-Pre2</a:t>
            </a:r>
          </a:p>
        </c:rich>
      </c:tx>
      <c:layout>
        <c:manualLayout>
          <c:xMode val="factor"/>
          <c:yMode val="factor"/>
          <c:x val="-0.391"/>
          <c:y val="0.041"/>
        </c:manualLayout>
      </c:layout>
      <c:spPr>
        <a:noFill/>
        <a:ln>
          <a:noFill/>
        </a:ln>
      </c:spPr>
    </c:title>
    <c:plotArea>
      <c:layout>
        <c:manualLayout>
          <c:xMode val="edge"/>
          <c:yMode val="edge"/>
          <c:x val="0"/>
          <c:y val="0.20075"/>
          <c:w val="1"/>
          <c:h val="0.7265"/>
        </c:manualLayout>
      </c:layout>
      <c:scatterChart>
        <c:scatterStyle val="lineMarker"/>
        <c:varyColors val="0"/>
        <c:ser>
          <c:idx val="0"/>
          <c:order val="0"/>
          <c:tx>
            <c:strRef>
              <c:f>'Sheet 1'!$B$42</c:f>
              <c:strCache>
                <c:ptCount val="1"/>
                <c:pt idx="0">
                  <c:v>Control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000000"/>
                </a:solidFill>
              </a:ln>
            </c:spPr>
          </c:marker>
          <c:trendline>
            <c:name>Control</c:name>
            <c:spPr>
              <a:ln w="25400">
                <a:solidFill>
                  <a:srgbClr val="0000FF"/>
                </a:solidFill>
              </a:ln>
            </c:spPr>
            <c:trendlineType val="linear"/>
            <c:dispEq val="0"/>
            <c:dispRSqr val="0"/>
          </c:trendline>
          <c:xVal>
            <c:numRef>
              <c:f>'Sheet 1'!$AJ$42:$AJ$61</c:f>
              <c:numCache/>
            </c:numRef>
          </c:xVal>
          <c:yVal>
            <c:numRef>
              <c:f>'Sheet 1'!$AS$42:$AS$61</c:f>
              <c:numCache/>
            </c:numRef>
          </c:yVal>
          <c:smooth val="0"/>
        </c:ser>
        <c:ser>
          <c:idx val="1"/>
          <c:order val="1"/>
          <c:tx>
            <c:strRef>
              <c:f>'Sheet 1'!$B$73</c:f>
              <c:strCache>
                <c:ptCount val="1"/>
                <c:pt idx="0">
                  <c:v>Exptal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000000"/>
                </a:solidFill>
              </a:ln>
            </c:spPr>
          </c:marker>
          <c:trendline>
            <c:name>Exptal</c:name>
            <c:spPr>
              <a:ln w="25400">
                <a:solidFill>
                  <a:srgbClr val="FF0000"/>
                </a:solidFill>
              </a:ln>
            </c:spPr>
            <c:trendlineType val="linear"/>
            <c:dispEq val="0"/>
            <c:dispRSqr val="0"/>
          </c:trendline>
          <c:xVal>
            <c:numRef>
              <c:f>'Sheet 1'!$AJ$73:$AJ$92</c:f>
              <c:numCache/>
            </c:numRef>
          </c:xVal>
          <c:yVal>
            <c:numRef>
              <c:f>'Sheet 1'!$AS$73:$AS$92</c:f>
              <c:numCache/>
            </c:numRef>
          </c:yVal>
          <c:smooth val="0"/>
        </c:ser>
        <c:ser>
          <c:idx val="2"/>
          <c:order val="2"/>
          <c:tx>
            <c:v>Value of X</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1'!$AP$108:$AP$109</c:f>
              <c:numCache/>
            </c:numRef>
          </c:xVal>
          <c:yVal>
            <c:numRef>
              <c:f>'Sheet 1'!$AS$106:$AS$107</c:f>
              <c:numCache/>
            </c:numRef>
          </c:yVal>
          <c:smooth val="0"/>
        </c:ser>
        <c:axId val="39297279"/>
        <c:axId val="18131192"/>
      </c:scatterChart>
      <c:valAx>
        <c:axId val="39297279"/>
        <c:scaling>
          <c:orientation val="minMax"/>
        </c:scaling>
        <c:axPos val="b"/>
        <c:title>
          <c:tx>
            <c:rich>
              <a:bodyPr vert="horz" rot="0" anchor="ctr"/>
              <a:lstStyle/>
              <a:p>
                <a:pPr algn="ctr">
                  <a:defRPr/>
                </a:pPr>
                <a:r>
                  <a:rPr lang="en-US" cap="none" sz="900" b="0" i="0" u="none" baseline="0">
                    <a:solidFill>
                      <a:srgbClr val="000000"/>
                    </a:solidFill>
                  </a:rPr>
                  <a:t>X</a:t>
                </a:r>
              </a:p>
            </c:rich>
          </c:tx>
          <c:layout>
            <c:manualLayout>
              <c:xMode val="factor"/>
              <c:yMode val="factor"/>
              <c:x val="0.0165"/>
              <c:y val="0.005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8131192"/>
        <c:crosses val="autoZero"/>
        <c:crossBetween val="midCat"/>
        <c:dispUnits/>
      </c:valAx>
      <c:valAx>
        <c:axId val="18131192"/>
        <c:scaling>
          <c:orientation val="minMax"/>
        </c:scaling>
        <c:axPos val="l"/>
        <c:delete val="0"/>
        <c:numFmt formatCode="General" sourceLinked="1"/>
        <c:majorTickMark val="out"/>
        <c:minorTickMark val="none"/>
        <c:tickLblPos val="nextTo"/>
        <c:spPr>
          <a:ln w="3175">
            <a:solidFill>
              <a:srgbClr val="000000"/>
            </a:solidFill>
          </a:ln>
        </c:spPr>
        <c:crossAx val="39297279"/>
        <c:crosses val="autoZero"/>
        <c:crossBetween val="midCat"/>
        <c:dispUnits/>
      </c:valAx>
      <c:spPr>
        <a:solidFill>
          <a:srgbClr val="FFFFFF"/>
        </a:solidFill>
        <a:ln w="12700">
          <a:solidFill>
            <a:srgbClr val="808080"/>
          </a:solidFill>
        </a:ln>
      </c:spPr>
    </c:plotArea>
    <c:legend>
      <c:legendPos val="r"/>
      <c:layout>
        <c:manualLayout>
          <c:xMode val="edge"/>
          <c:yMode val="edge"/>
          <c:x val="0.52875"/>
          <c:y val="0.01025"/>
          <c:w val="0.44225"/>
          <c:h val="0.1882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C0C0C0"/>
    </a:solidFill>
    <a:ln w="3175">
      <a:solidFill>
        <a:srgbClr val="000000"/>
      </a:solidFill>
    </a:ln>
  </c:spPr>
  <c:txPr>
    <a:bodyPr vert="horz" rot="0"/>
    <a:lstStyle/>
    <a:p>
      <a:pPr>
        <a:defRPr lang="en-US" cap="none" sz="9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Post2-Post1</a:t>
            </a:r>
          </a:p>
        </c:rich>
      </c:tx>
      <c:layout>
        <c:manualLayout>
          <c:xMode val="factor"/>
          <c:yMode val="factor"/>
          <c:x val="-0.3815"/>
          <c:y val="0.04675"/>
        </c:manualLayout>
      </c:layout>
      <c:spPr>
        <a:noFill/>
        <a:ln>
          <a:noFill/>
        </a:ln>
      </c:spPr>
    </c:title>
    <c:plotArea>
      <c:layout>
        <c:manualLayout>
          <c:xMode val="edge"/>
          <c:yMode val="edge"/>
          <c:x val="0"/>
          <c:y val="0.256"/>
          <c:w val="1"/>
          <c:h val="0.66075"/>
        </c:manualLayout>
      </c:layout>
      <c:scatterChart>
        <c:scatterStyle val="lineMarker"/>
        <c:varyColors val="0"/>
        <c:ser>
          <c:idx val="0"/>
          <c:order val="0"/>
          <c:tx>
            <c:strRef>
              <c:f>'Sheet 1'!$B$42</c:f>
              <c:strCache>
                <c:ptCount val="1"/>
                <c:pt idx="0">
                  <c:v>Control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000000"/>
                </a:solidFill>
              </a:ln>
            </c:spPr>
          </c:marker>
          <c:trendline>
            <c:name>Control</c:name>
            <c:spPr>
              <a:ln w="25400">
                <a:solidFill>
                  <a:srgbClr val="0000FF"/>
                </a:solidFill>
              </a:ln>
            </c:spPr>
            <c:trendlineType val="linear"/>
            <c:dispEq val="0"/>
            <c:dispRSqr val="0"/>
          </c:trendline>
          <c:xVal>
            <c:numRef>
              <c:f>'Sheet 1'!$AJ$42:$AJ$61</c:f>
              <c:numCache/>
            </c:numRef>
          </c:xVal>
          <c:yVal>
            <c:numRef>
              <c:f>'Sheet 1'!$AT$42:$AT$61</c:f>
              <c:numCache/>
            </c:numRef>
          </c:yVal>
          <c:smooth val="0"/>
        </c:ser>
        <c:ser>
          <c:idx val="1"/>
          <c:order val="1"/>
          <c:tx>
            <c:strRef>
              <c:f>'Sheet 1'!$B$73</c:f>
              <c:strCache>
                <c:ptCount val="1"/>
                <c:pt idx="0">
                  <c:v>Exptal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000000"/>
                </a:solidFill>
              </a:ln>
            </c:spPr>
          </c:marker>
          <c:trendline>
            <c:name>Exptal</c:name>
            <c:spPr>
              <a:ln w="25400">
                <a:solidFill>
                  <a:srgbClr val="FF0000"/>
                </a:solidFill>
              </a:ln>
            </c:spPr>
            <c:trendlineType val="linear"/>
            <c:dispEq val="0"/>
            <c:dispRSqr val="0"/>
          </c:trendline>
          <c:xVal>
            <c:numRef>
              <c:f>'Sheet 1'!$AJ$73:$AJ$92</c:f>
              <c:numCache/>
            </c:numRef>
          </c:xVal>
          <c:yVal>
            <c:numRef>
              <c:f>'Sheet 1'!$AT$73:$AT$92</c:f>
              <c:numCache/>
            </c:numRef>
          </c:yVal>
          <c:smooth val="0"/>
        </c:ser>
        <c:ser>
          <c:idx val="2"/>
          <c:order val="2"/>
          <c:tx>
            <c:v>Value of X</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1'!$AP$108:$AP$109</c:f>
              <c:numCache/>
            </c:numRef>
          </c:xVal>
          <c:yVal>
            <c:numRef>
              <c:f>'Sheet 1'!$AT$106:$AT$107</c:f>
              <c:numCache/>
            </c:numRef>
          </c:yVal>
          <c:smooth val="0"/>
        </c:ser>
        <c:axId val="28963001"/>
        <c:axId val="59340418"/>
      </c:scatterChart>
      <c:valAx>
        <c:axId val="28963001"/>
        <c:scaling>
          <c:orientation val="minMax"/>
        </c:scaling>
        <c:axPos val="b"/>
        <c:title>
          <c:tx>
            <c:rich>
              <a:bodyPr vert="horz" rot="0" anchor="ctr"/>
              <a:lstStyle/>
              <a:p>
                <a:pPr algn="ctr">
                  <a:defRPr/>
                </a:pPr>
                <a:r>
                  <a:rPr lang="en-US" cap="none" sz="900" b="0" i="0" u="none" baseline="0">
                    <a:solidFill>
                      <a:srgbClr val="000000"/>
                    </a:solidFill>
                  </a:rPr>
                  <a:t>X</a:t>
                </a:r>
              </a:p>
            </c:rich>
          </c:tx>
          <c:layout>
            <c:manualLayout>
              <c:xMode val="factor"/>
              <c:yMode val="factor"/>
              <c:x val="0.019"/>
              <c:y val="0.005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9340418"/>
        <c:crosses val="autoZero"/>
        <c:crossBetween val="midCat"/>
        <c:dispUnits/>
      </c:valAx>
      <c:valAx>
        <c:axId val="59340418"/>
        <c:scaling>
          <c:orientation val="minMax"/>
        </c:scaling>
        <c:axPos val="l"/>
        <c:delete val="0"/>
        <c:numFmt formatCode="General" sourceLinked="1"/>
        <c:majorTickMark val="out"/>
        <c:minorTickMark val="none"/>
        <c:tickLblPos val="nextTo"/>
        <c:spPr>
          <a:ln w="3175">
            <a:solidFill>
              <a:srgbClr val="000000"/>
            </a:solidFill>
          </a:ln>
        </c:spPr>
        <c:crossAx val="28963001"/>
        <c:crosses val="autoZero"/>
        <c:crossBetween val="midCat"/>
        <c:dispUnits/>
      </c:valAx>
      <c:spPr>
        <a:solidFill>
          <a:srgbClr val="FFFFFF"/>
        </a:solidFill>
        <a:ln w="12700">
          <a:solidFill>
            <a:srgbClr val="808080"/>
          </a:solidFill>
        </a:ln>
      </c:spPr>
    </c:plotArea>
    <c:legend>
      <c:legendPos val="r"/>
      <c:layout>
        <c:manualLayout>
          <c:xMode val="edge"/>
          <c:yMode val="edge"/>
          <c:x val="0.47425"/>
          <c:y val="0.0435"/>
          <c:w val="0.4905"/>
          <c:h val="0.2107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C0C0C0"/>
    </a:solidFill>
    <a:ln w="3175">
      <a:solidFill>
        <a:srgbClr val="000000"/>
      </a:solidFill>
    </a:ln>
  </c:spPr>
  <c:txPr>
    <a:bodyPr vert="horz" rot="0"/>
    <a:lstStyle/>
    <a:p>
      <a:pPr>
        <a:defRPr lang="en-US" cap="none" sz="9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Pre2-Pre1</a:t>
            </a:r>
          </a:p>
        </c:rich>
      </c:tx>
      <c:layout/>
      <c:spPr>
        <a:noFill/>
        <a:ln>
          <a:noFill/>
        </a:ln>
      </c:spPr>
    </c:title>
    <c:plotArea>
      <c:layout/>
      <c:scatterChart>
        <c:scatterStyle val="lineMarker"/>
        <c:varyColors val="0"/>
        <c:ser>
          <c:idx val="0"/>
          <c:order val="0"/>
          <c:tx>
            <c:strRef>
              <c:f>'Sheet 1'!$B$42</c:f>
              <c:strCache>
                <c:ptCount val="1"/>
                <c:pt idx="0">
                  <c:v>Control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000000"/>
                </a:solidFill>
              </a:ln>
            </c:spPr>
          </c:marker>
          <c:trendline>
            <c:name>Control</c:name>
            <c:spPr>
              <a:ln w="25400">
                <a:solidFill>
                  <a:srgbClr val="0000FF"/>
                </a:solidFill>
              </a:ln>
            </c:spPr>
            <c:trendlineType val="linear"/>
            <c:dispEq val="0"/>
            <c:dispRSqr val="0"/>
          </c:trendline>
          <c:xVal>
            <c:strRef>
              <c:f>'Sheet 1'!#REF!</c:f>
              <c:strCache>
                <c:ptCount val="1"/>
                <c:pt idx="0">
                  <c:v>1</c:v>
                </c:pt>
              </c:strCache>
            </c:strRef>
          </c:xVal>
          <c:yVal>
            <c:numRef>
              <c:f>'Sheet 1'!#REF!</c:f>
              <c:numCache>
                <c:ptCount val="1"/>
                <c:pt idx="0">
                  <c:v>1</c:v>
                </c:pt>
              </c:numCache>
            </c:numRef>
          </c:yVal>
          <c:smooth val="0"/>
        </c:ser>
        <c:ser>
          <c:idx val="1"/>
          <c:order val="1"/>
          <c:tx>
            <c:strRef>
              <c:f>'Sheet 1'!$B$73</c:f>
              <c:strCache>
                <c:ptCount val="1"/>
                <c:pt idx="0">
                  <c:v>Exptal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000000"/>
                </a:solidFill>
              </a:ln>
            </c:spPr>
          </c:marker>
          <c:trendline>
            <c:name>Exptal</c:name>
            <c:spPr>
              <a:ln w="25400">
                <a:solidFill>
                  <a:srgbClr val="FF0000"/>
                </a:solidFill>
              </a:ln>
            </c:spPr>
            <c:trendlineType val="linear"/>
            <c:dispEq val="0"/>
            <c:dispRSqr val="0"/>
          </c:trendline>
          <c:xVal>
            <c:strRef>
              <c:f>'Sheet 1'!#REF!</c:f>
              <c:strCache>
                <c:ptCount val="1"/>
                <c:pt idx="0">
                  <c:v>1</c:v>
                </c:pt>
              </c:strCache>
            </c:strRef>
          </c:xVal>
          <c:yVal>
            <c:numRef>
              <c:f>'Sheet 1'!#REF!</c:f>
              <c:numCache>
                <c:ptCount val="1"/>
                <c:pt idx="0">
                  <c:v>1</c:v>
                </c:pt>
              </c:numCache>
            </c:numRef>
          </c:yVal>
          <c:smooth val="0"/>
        </c:ser>
        <c:ser>
          <c:idx val="2"/>
          <c:order val="2"/>
          <c:tx>
            <c:v>Value of X</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strRef>
              <c:f>'Sheet 1'!#REF!</c:f>
              <c:strCache>
                <c:ptCount val="1"/>
                <c:pt idx="0">
                  <c:v>1</c:v>
                </c:pt>
              </c:strCache>
            </c:strRef>
          </c:xVal>
          <c:yVal>
            <c:numRef>
              <c:f>'Sheet 1'!#REF!</c:f>
              <c:numCache>
                <c:ptCount val="1"/>
                <c:pt idx="0">
                  <c:v>1</c:v>
                </c:pt>
              </c:numCache>
            </c:numRef>
          </c:yVal>
          <c:smooth val="0"/>
        </c:ser>
        <c:axId val="64301715"/>
        <c:axId val="41844524"/>
      </c:scatterChart>
      <c:valAx>
        <c:axId val="64301715"/>
        <c:scaling>
          <c:orientation val="minMax"/>
        </c:scaling>
        <c:axPos val="b"/>
        <c:title>
          <c:tx>
            <c:rich>
              <a:bodyPr vert="horz" rot="0" anchor="ctr"/>
              <a:lstStyle/>
              <a:p>
                <a:pPr algn="ctr">
                  <a:defRPr/>
                </a:pPr>
                <a:r>
                  <a:rPr lang="en-US" cap="none" sz="900" b="0" i="0" u="none" baseline="0">
                    <a:solidFill>
                      <a:srgbClr val="000000"/>
                    </a:solidFill>
                  </a:rPr>
                  <a:t>X</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1844524"/>
        <c:crosses val="autoZero"/>
        <c:crossBetween val="midCat"/>
        <c:dispUnits/>
      </c:valAx>
      <c:valAx>
        <c:axId val="41844524"/>
        <c:scaling>
          <c:orientation val="minMax"/>
        </c:scaling>
        <c:axPos val="l"/>
        <c:delete val="0"/>
        <c:numFmt formatCode="General" sourceLinked="1"/>
        <c:majorTickMark val="out"/>
        <c:minorTickMark val="none"/>
        <c:tickLblPos val="nextTo"/>
        <c:spPr>
          <a:ln w="3175">
            <a:solidFill>
              <a:srgbClr val="000000"/>
            </a:solidFill>
          </a:ln>
        </c:spPr>
        <c:crossAx val="64301715"/>
        <c:crosses val="autoZero"/>
        <c:crossBetween val="midCat"/>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C0C0C0"/>
    </a:solidFill>
    <a:ln w="3175">
      <a:solidFill>
        <a:srgbClr val="000000"/>
      </a:solidFill>
    </a:ln>
  </c:spPr>
  <c:txPr>
    <a:bodyPr vert="horz" rot="0"/>
    <a:lstStyle/>
    <a:p>
      <a:pPr>
        <a:defRPr lang="en-US" cap="none" sz="9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Post1-Pre2</a:t>
            </a:r>
          </a:p>
        </c:rich>
      </c:tx>
      <c:layout/>
      <c:spPr>
        <a:noFill/>
        <a:ln>
          <a:noFill/>
        </a:ln>
      </c:spPr>
    </c:title>
    <c:plotArea>
      <c:layout/>
      <c:scatterChart>
        <c:scatterStyle val="lineMarker"/>
        <c:varyColors val="0"/>
        <c:ser>
          <c:idx val="0"/>
          <c:order val="0"/>
          <c:tx>
            <c:strRef>
              <c:f>'Sheet 1'!$B$42</c:f>
              <c:strCache>
                <c:ptCount val="1"/>
                <c:pt idx="0">
                  <c:v>Control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000000"/>
                </a:solidFill>
              </a:ln>
            </c:spPr>
          </c:marker>
          <c:trendline>
            <c:name>Control</c:name>
            <c:spPr>
              <a:ln w="25400">
                <a:solidFill>
                  <a:srgbClr val="0000FF"/>
                </a:solidFill>
              </a:ln>
            </c:spPr>
            <c:trendlineType val="linear"/>
            <c:dispEq val="0"/>
            <c:dispRSqr val="0"/>
          </c:trendline>
          <c:xVal>
            <c:strRef>
              <c:f>'Sheet 1'!#REF!</c:f>
              <c:strCache>
                <c:ptCount val="1"/>
                <c:pt idx="0">
                  <c:v>1</c:v>
                </c:pt>
              </c:strCache>
            </c:strRef>
          </c:xVal>
          <c:yVal>
            <c:numRef>
              <c:f>'Sheet 1'!#REF!</c:f>
              <c:numCache>
                <c:ptCount val="1"/>
                <c:pt idx="0">
                  <c:v>1</c:v>
                </c:pt>
              </c:numCache>
            </c:numRef>
          </c:yVal>
          <c:smooth val="0"/>
        </c:ser>
        <c:ser>
          <c:idx val="1"/>
          <c:order val="1"/>
          <c:tx>
            <c:strRef>
              <c:f>'Sheet 1'!$B$73</c:f>
              <c:strCache>
                <c:ptCount val="1"/>
                <c:pt idx="0">
                  <c:v>Exptal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000000"/>
                </a:solidFill>
              </a:ln>
            </c:spPr>
          </c:marker>
          <c:trendline>
            <c:name>Exptal</c:name>
            <c:spPr>
              <a:ln w="25400">
                <a:solidFill>
                  <a:srgbClr val="FF0000"/>
                </a:solidFill>
              </a:ln>
            </c:spPr>
            <c:trendlineType val="linear"/>
            <c:dispEq val="0"/>
            <c:dispRSqr val="0"/>
          </c:trendline>
          <c:xVal>
            <c:strRef>
              <c:f>'Sheet 1'!#REF!</c:f>
              <c:strCache>
                <c:ptCount val="1"/>
                <c:pt idx="0">
                  <c:v>1</c:v>
                </c:pt>
              </c:strCache>
            </c:strRef>
          </c:xVal>
          <c:yVal>
            <c:numRef>
              <c:f>'Sheet 1'!#REF!</c:f>
              <c:numCache>
                <c:ptCount val="1"/>
                <c:pt idx="0">
                  <c:v>1</c:v>
                </c:pt>
              </c:numCache>
            </c:numRef>
          </c:yVal>
          <c:smooth val="0"/>
        </c:ser>
        <c:ser>
          <c:idx val="2"/>
          <c:order val="2"/>
          <c:tx>
            <c:v>Value of X</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strRef>
              <c:f>'Sheet 1'!#REF!</c:f>
              <c:strCache>
                <c:ptCount val="1"/>
                <c:pt idx="0">
                  <c:v>1</c:v>
                </c:pt>
              </c:strCache>
            </c:strRef>
          </c:xVal>
          <c:yVal>
            <c:numRef>
              <c:f>'Sheet 1'!#REF!</c:f>
              <c:numCache>
                <c:ptCount val="1"/>
                <c:pt idx="0">
                  <c:v>1</c:v>
                </c:pt>
              </c:numCache>
            </c:numRef>
          </c:yVal>
          <c:smooth val="0"/>
        </c:ser>
        <c:axId val="41056397"/>
        <c:axId val="33963254"/>
      </c:scatterChart>
      <c:valAx>
        <c:axId val="41056397"/>
        <c:scaling>
          <c:orientation val="minMax"/>
        </c:scaling>
        <c:axPos val="b"/>
        <c:title>
          <c:tx>
            <c:rich>
              <a:bodyPr vert="horz" rot="0" anchor="ctr"/>
              <a:lstStyle/>
              <a:p>
                <a:pPr algn="ctr">
                  <a:defRPr/>
                </a:pPr>
                <a:r>
                  <a:rPr lang="en-US" cap="none" sz="900" b="0" i="0" u="none" baseline="0">
                    <a:solidFill>
                      <a:srgbClr val="000000"/>
                    </a:solidFill>
                  </a:rPr>
                  <a:t>X</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3963254"/>
        <c:crosses val="autoZero"/>
        <c:crossBetween val="midCat"/>
        <c:dispUnits/>
      </c:valAx>
      <c:valAx>
        <c:axId val="33963254"/>
        <c:scaling>
          <c:orientation val="minMax"/>
        </c:scaling>
        <c:axPos val="l"/>
        <c:delete val="0"/>
        <c:numFmt formatCode="General" sourceLinked="1"/>
        <c:majorTickMark val="out"/>
        <c:minorTickMark val="none"/>
        <c:tickLblPos val="nextTo"/>
        <c:spPr>
          <a:ln w="3175">
            <a:solidFill>
              <a:srgbClr val="000000"/>
            </a:solidFill>
          </a:ln>
        </c:spPr>
        <c:crossAx val="41056397"/>
        <c:crosses val="autoZero"/>
        <c:crossBetween val="midCat"/>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C0C0C0"/>
    </a:solidFill>
    <a:ln w="3175">
      <a:solidFill>
        <a:srgbClr val="000000"/>
      </a:solidFill>
    </a:ln>
  </c:spPr>
  <c:txPr>
    <a:bodyPr vert="horz" rot="0"/>
    <a:lstStyle/>
    <a:p>
      <a:pPr>
        <a:defRPr lang="en-US" cap="none" sz="9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Post2-Pre2</a:t>
            </a:r>
          </a:p>
        </c:rich>
      </c:tx>
      <c:layout/>
      <c:spPr>
        <a:noFill/>
        <a:ln>
          <a:noFill/>
        </a:ln>
      </c:spPr>
    </c:title>
    <c:plotArea>
      <c:layout/>
      <c:scatterChart>
        <c:scatterStyle val="lineMarker"/>
        <c:varyColors val="0"/>
        <c:ser>
          <c:idx val="0"/>
          <c:order val="0"/>
          <c:tx>
            <c:strRef>
              <c:f>'Sheet 1'!$B$42</c:f>
              <c:strCache>
                <c:ptCount val="1"/>
                <c:pt idx="0">
                  <c:v>Control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000000"/>
                </a:solidFill>
              </a:ln>
            </c:spPr>
          </c:marker>
          <c:trendline>
            <c:name>Control</c:name>
            <c:spPr>
              <a:ln w="25400">
                <a:solidFill>
                  <a:srgbClr val="0000FF"/>
                </a:solidFill>
              </a:ln>
            </c:spPr>
            <c:trendlineType val="linear"/>
            <c:dispEq val="0"/>
            <c:dispRSqr val="0"/>
          </c:trendline>
          <c:xVal>
            <c:strRef>
              <c:f>'Sheet 1'!#REF!</c:f>
              <c:strCache>
                <c:ptCount val="1"/>
                <c:pt idx="0">
                  <c:v>1</c:v>
                </c:pt>
              </c:strCache>
            </c:strRef>
          </c:xVal>
          <c:yVal>
            <c:numRef>
              <c:f>'Sheet 1'!#REF!</c:f>
              <c:numCache>
                <c:ptCount val="1"/>
                <c:pt idx="0">
                  <c:v>1</c:v>
                </c:pt>
              </c:numCache>
            </c:numRef>
          </c:yVal>
          <c:smooth val="0"/>
        </c:ser>
        <c:ser>
          <c:idx val="1"/>
          <c:order val="1"/>
          <c:tx>
            <c:strRef>
              <c:f>'Sheet 1'!$B$73</c:f>
              <c:strCache>
                <c:ptCount val="1"/>
                <c:pt idx="0">
                  <c:v>Exptal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000000"/>
                </a:solidFill>
              </a:ln>
            </c:spPr>
          </c:marker>
          <c:trendline>
            <c:name>Exptal</c:name>
            <c:spPr>
              <a:ln w="25400">
                <a:solidFill>
                  <a:srgbClr val="FF0000"/>
                </a:solidFill>
              </a:ln>
            </c:spPr>
            <c:trendlineType val="linear"/>
            <c:dispEq val="0"/>
            <c:dispRSqr val="0"/>
          </c:trendline>
          <c:xVal>
            <c:strRef>
              <c:f>'Sheet 1'!#REF!</c:f>
              <c:strCache>
                <c:ptCount val="1"/>
                <c:pt idx="0">
                  <c:v>1</c:v>
                </c:pt>
              </c:strCache>
            </c:strRef>
          </c:xVal>
          <c:yVal>
            <c:numRef>
              <c:f>'Sheet 1'!#REF!</c:f>
              <c:numCache>
                <c:ptCount val="1"/>
                <c:pt idx="0">
                  <c:v>1</c:v>
                </c:pt>
              </c:numCache>
            </c:numRef>
          </c:yVal>
          <c:smooth val="0"/>
        </c:ser>
        <c:ser>
          <c:idx val="2"/>
          <c:order val="2"/>
          <c:tx>
            <c:v>Value of X</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strRef>
              <c:f>'Sheet 1'!#REF!</c:f>
              <c:strCache>
                <c:ptCount val="1"/>
                <c:pt idx="0">
                  <c:v>1</c:v>
                </c:pt>
              </c:strCache>
            </c:strRef>
          </c:xVal>
          <c:yVal>
            <c:numRef>
              <c:f>'Sheet 1'!#REF!</c:f>
              <c:numCache>
                <c:ptCount val="1"/>
                <c:pt idx="0">
                  <c:v>1</c:v>
                </c:pt>
              </c:numCache>
            </c:numRef>
          </c:yVal>
          <c:smooth val="0"/>
        </c:ser>
        <c:axId val="37233831"/>
        <c:axId val="66669024"/>
      </c:scatterChart>
      <c:valAx>
        <c:axId val="37233831"/>
        <c:scaling>
          <c:orientation val="minMax"/>
        </c:scaling>
        <c:axPos val="b"/>
        <c:title>
          <c:tx>
            <c:rich>
              <a:bodyPr vert="horz" rot="0" anchor="ctr"/>
              <a:lstStyle/>
              <a:p>
                <a:pPr algn="ctr">
                  <a:defRPr/>
                </a:pPr>
                <a:r>
                  <a:rPr lang="en-US" cap="none" sz="900" b="0" i="0" u="none" baseline="0">
                    <a:solidFill>
                      <a:srgbClr val="000000"/>
                    </a:solidFill>
                  </a:rPr>
                  <a:t>X</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6669024"/>
        <c:crosses val="autoZero"/>
        <c:crossBetween val="midCat"/>
        <c:dispUnits/>
      </c:valAx>
      <c:valAx>
        <c:axId val="66669024"/>
        <c:scaling>
          <c:orientation val="minMax"/>
        </c:scaling>
        <c:axPos val="l"/>
        <c:delete val="0"/>
        <c:numFmt formatCode="General" sourceLinked="1"/>
        <c:majorTickMark val="out"/>
        <c:minorTickMark val="none"/>
        <c:tickLblPos val="nextTo"/>
        <c:spPr>
          <a:ln w="3175">
            <a:solidFill>
              <a:srgbClr val="000000"/>
            </a:solidFill>
          </a:ln>
        </c:spPr>
        <c:crossAx val="37233831"/>
        <c:crosses val="autoZero"/>
        <c:crossBetween val="midCat"/>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C0C0C0"/>
    </a:solidFill>
    <a:ln w="3175">
      <a:solidFill>
        <a:srgbClr val="000000"/>
      </a:solidFill>
    </a:ln>
  </c:spPr>
  <c:txPr>
    <a:bodyPr vert="horz" rot="0"/>
    <a:lstStyle/>
    <a:p>
      <a:pPr>
        <a:defRPr lang="en-US" cap="none" sz="900" b="0" i="0" u="none" baseline="0">
          <a:solidFill>
            <a:srgbClr val="000000"/>
          </a:solidFil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Post2-Post1</a:t>
            </a:r>
          </a:p>
        </c:rich>
      </c:tx>
      <c:layout/>
      <c:spPr>
        <a:noFill/>
        <a:ln>
          <a:noFill/>
        </a:ln>
      </c:spPr>
    </c:title>
    <c:plotArea>
      <c:layout/>
      <c:scatterChart>
        <c:scatterStyle val="lineMarker"/>
        <c:varyColors val="0"/>
        <c:ser>
          <c:idx val="0"/>
          <c:order val="0"/>
          <c:tx>
            <c:strRef>
              <c:f>'Sheet 1'!$B$42</c:f>
              <c:strCache>
                <c:ptCount val="1"/>
                <c:pt idx="0">
                  <c:v>Control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000000"/>
                </a:solidFill>
              </a:ln>
            </c:spPr>
          </c:marker>
          <c:trendline>
            <c:name>Control</c:name>
            <c:spPr>
              <a:ln w="25400">
                <a:solidFill>
                  <a:srgbClr val="0000FF"/>
                </a:solidFill>
              </a:ln>
            </c:spPr>
            <c:trendlineType val="linear"/>
            <c:dispEq val="0"/>
            <c:dispRSqr val="0"/>
          </c:trendline>
          <c:xVal>
            <c:strRef>
              <c:f>'Sheet 1'!#REF!</c:f>
              <c:strCache>
                <c:ptCount val="1"/>
                <c:pt idx="0">
                  <c:v>1</c:v>
                </c:pt>
              </c:strCache>
            </c:strRef>
          </c:xVal>
          <c:yVal>
            <c:numRef>
              <c:f>'Sheet 1'!#REF!</c:f>
              <c:numCache>
                <c:ptCount val="1"/>
                <c:pt idx="0">
                  <c:v>1</c:v>
                </c:pt>
              </c:numCache>
            </c:numRef>
          </c:yVal>
          <c:smooth val="0"/>
        </c:ser>
        <c:ser>
          <c:idx val="1"/>
          <c:order val="1"/>
          <c:tx>
            <c:strRef>
              <c:f>'Sheet 1'!$B$73</c:f>
              <c:strCache>
                <c:ptCount val="1"/>
                <c:pt idx="0">
                  <c:v>Exptal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000000"/>
                </a:solidFill>
              </a:ln>
            </c:spPr>
          </c:marker>
          <c:trendline>
            <c:name>Exptal</c:name>
            <c:spPr>
              <a:ln w="25400">
                <a:solidFill>
                  <a:srgbClr val="FF0000"/>
                </a:solidFill>
              </a:ln>
            </c:spPr>
            <c:trendlineType val="linear"/>
            <c:dispEq val="0"/>
            <c:dispRSqr val="0"/>
          </c:trendline>
          <c:xVal>
            <c:strRef>
              <c:f>'Sheet 1'!#REF!</c:f>
              <c:strCache>
                <c:ptCount val="1"/>
                <c:pt idx="0">
                  <c:v>1</c:v>
                </c:pt>
              </c:strCache>
            </c:strRef>
          </c:xVal>
          <c:yVal>
            <c:numRef>
              <c:f>'Sheet 1'!#REF!</c:f>
              <c:numCache>
                <c:ptCount val="1"/>
                <c:pt idx="0">
                  <c:v>1</c:v>
                </c:pt>
              </c:numCache>
            </c:numRef>
          </c:yVal>
          <c:smooth val="0"/>
        </c:ser>
        <c:ser>
          <c:idx val="2"/>
          <c:order val="2"/>
          <c:tx>
            <c:v>Value of X</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strRef>
              <c:f>'Sheet 1'!#REF!</c:f>
              <c:strCache>
                <c:ptCount val="1"/>
                <c:pt idx="0">
                  <c:v>1</c:v>
                </c:pt>
              </c:strCache>
            </c:strRef>
          </c:xVal>
          <c:yVal>
            <c:numRef>
              <c:f>'Sheet 1'!#REF!</c:f>
              <c:numCache>
                <c:ptCount val="1"/>
                <c:pt idx="0">
                  <c:v>1</c:v>
                </c:pt>
              </c:numCache>
            </c:numRef>
          </c:yVal>
          <c:smooth val="0"/>
        </c:ser>
        <c:axId val="63150305"/>
        <c:axId val="31481834"/>
      </c:scatterChart>
      <c:valAx>
        <c:axId val="63150305"/>
        <c:scaling>
          <c:orientation val="minMax"/>
        </c:scaling>
        <c:axPos val="b"/>
        <c:title>
          <c:tx>
            <c:rich>
              <a:bodyPr vert="horz" rot="0" anchor="ctr"/>
              <a:lstStyle/>
              <a:p>
                <a:pPr algn="ctr">
                  <a:defRPr/>
                </a:pPr>
                <a:r>
                  <a:rPr lang="en-US" cap="none" sz="900" b="0" i="0" u="none" baseline="0">
                    <a:solidFill>
                      <a:srgbClr val="000000"/>
                    </a:solidFill>
                  </a:rPr>
                  <a:t>X</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1481834"/>
        <c:crosses val="autoZero"/>
        <c:crossBetween val="midCat"/>
        <c:dispUnits/>
      </c:valAx>
      <c:valAx>
        <c:axId val="31481834"/>
        <c:scaling>
          <c:orientation val="minMax"/>
        </c:scaling>
        <c:axPos val="l"/>
        <c:delete val="0"/>
        <c:numFmt formatCode="General" sourceLinked="1"/>
        <c:majorTickMark val="out"/>
        <c:minorTickMark val="none"/>
        <c:tickLblPos val="nextTo"/>
        <c:spPr>
          <a:ln w="3175">
            <a:solidFill>
              <a:srgbClr val="000000"/>
            </a:solidFill>
          </a:ln>
        </c:spPr>
        <c:crossAx val="63150305"/>
        <c:crosses val="autoZero"/>
        <c:crossBetween val="midCat"/>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C0C0C0"/>
    </a:solidFill>
    <a:ln w="3175">
      <a:solidFill>
        <a:srgbClr val="000000"/>
      </a:solidFill>
    </a:ln>
  </c:spPr>
  <c:txPr>
    <a:bodyPr vert="horz" rot="0"/>
    <a:lstStyle/>
    <a:p>
      <a:pPr>
        <a:defRPr lang="en-US" cap="none" sz="9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Pre2-Pre1</a:t>
            </a:r>
          </a:p>
        </c:rich>
      </c:tx>
      <c:layout/>
      <c:spPr>
        <a:noFill/>
        <a:ln>
          <a:noFill/>
        </a:ln>
      </c:spPr>
    </c:title>
    <c:plotArea>
      <c:layout/>
      <c:scatterChart>
        <c:scatterStyle val="lineMarker"/>
        <c:varyColors val="0"/>
        <c:ser>
          <c:idx val="0"/>
          <c:order val="0"/>
          <c:tx>
            <c:strRef>
              <c:f>'Sheet 1'!$B$42</c:f>
              <c:strCache>
                <c:ptCount val="1"/>
                <c:pt idx="0">
                  <c:v>Control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000000"/>
                </a:solidFill>
              </a:ln>
            </c:spPr>
          </c:marker>
          <c:trendline>
            <c:name>Control</c:name>
            <c:spPr>
              <a:ln w="25400">
                <a:solidFill>
                  <a:srgbClr val="0000FF"/>
                </a:solidFill>
              </a:ln>
            </c:spPr>
            <c:trendlineType val="linear"/>
            <c:dispEq val="0"/>
            <c:dispRSqr val="0"/>
          </c:trendline>
          <c:xVal>
            <c:strRef>
              <c:f>'Sheet 1'!#REF!</c:f>
              <c:strCache>
                <c:ptCount val="1"/>
                <c:pt idx="0">
                  <c:v>1</c:v>
                </c:pt>
              </c:strCache>
            </c:strRef>
          </c:xVal>
          <c:yVal>
            <c:numRef>
              <c:f>'Sheet 1'!#REF!</c:f>
              <c:numCache>
                <c:ptCount val="1"/>
                <c:pt idx="0">
                  <c:v>1</c:v>
                </c:pt>
              </c:numCache>
            </c:numRef>
          </c:yVal>
          <c:smooth val="0"/>
        </c:ser>
        <c:ser>
          <c:idx val="1"/>
          <c:order val="1"/>
          <c:tx>
            <c:strRef>
              <c:f>'Sheet 1'!$B$73</c:f>
              <c:strCache>
                <c:ptCount val="1"/>
                <c:pt idx="0">
                  <c:v>Exptal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000000"/>
                </a:solidFill>
              </a:ln>
            </c:spPr>
          </c:marker>
          <c:trendline>
            <c:name>Exptal</c:name>
            <c:spPr>
              <a:ln w="25400">
                <a:solidFill>
                  <a:srgbClr val="FF0000"/>
                </a:solidFill>
              </a:ln>
            </c:spPr>
            <c:trendlineType val="linear"/>
            <c:dispEq val="0"/>
            <c:dispRSqr val="0"/>
          </c:trendline>
          <c:xVal>
            <c:strRef>
              <c:f>'Sheet 1'!#REF!</c:f>
              <c:strCache>
                <c:ptCount val="1"/>
                <c:pt idx="0">
                  <c:v>1</c:v>
                </c:pt>
              </c:strCache>
            </c:strRef>
          </c:xVal>
          <c:yVal>
            <c:numRef>
              <c:f>'Sheet 1'!#REF!</c:f>
              <c:numCache>
                <c:ptCount val="1"/>
                <c:pt idx="0">
                  <c:v>1</c:v>
                </c:pt>
              </c:numCache>
            </c:numRef>
          </c:yVal>
          <c:smooth val="0"/>
        </c:ser>
        <c:ser>
          <c:idx val="2"/>
          <c:order val="2"/>
          <c:tx>
            <c:v>Value of X</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strRef>
              <c:f>'Sheet 1'!#REF!</c:f>
              <c:strCache>
                <c:ptCount val="1"/>
                <c:pt idx="0">
                  <c:v>1</c:v>
                </c:pt>
              </c:strCache>
            </c:strRef>
          </c:xVal>
          <c:yVal>
            <c:numRef>
              <c:f>'Sheet 1'!#REF!</c:f>
              <c:numCache>
                <c:ptCount val="1"/>
                <c:pt idx="0">
                  <c:v>1</c:v>
                </c:pt>
              </c:numCache>
            </c:numRef>
          </c:yVal>
          <c:smooth val="0"/>
        </c:ser>
        <c:axId val="14901051"/>
        <c:axId val="67000596"/>
      </c:scatterChart>
      <c:valAx>
        <c:axId val="14901051"/>
        <c:scaling>
          <c:orientation val="minMax"/>
        </c:scaling>
        <c:axPos val="b"/>
        <c:title>
          <c:tx>
            <c:rich>
              <a:bodyPr vert="horz" rot="0" anchor="ctr"/>
              <a:lstStyle/>
              <a:p>
                <a:pPr algn="ctr">
                  <a:defRPr/>
                </a:pPr>
                <a:r>
                  <a:rPr lang="en-US" cap="none" sz="900" b="0" i="0" u="none" baseline="0">
                    <a:solidFill>
                      <a:srgbClr val="000000"/>
                    </a:solidFill>
                  </a:rPr>
                  <a:t>X</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7000596"/>
        <c:crosses val="autoZero"/>
        <c:crossBetween val="midCat"/>
        <c:dispUnits/>
      </c:valAx>
      <c:valAx>
        <c:axId val="67000596"/>
        <c:scaling>
          <c:orientation val="minMax"/>
        </c:scaling>
        <c:axPos val="l"/>
        <c:delete val="0"/>
        <c:numFmt formatCode="General" sourceLinked="1"/>
        <c:majorTickMark val="out"/>
        <c:minorTickMark val="none"/>
        <c:tickLblPos val="nextTo"/>
        <c:spPr>
          <a:ln w="3175">
            <a:solidFill>
              <a:srgbClr val="000000"/>
            </a:solidFill>
          </a:ln>
        </c:spPr>
        <c:crossAx val="14901051"/>
        <c:crosses val="autoZero"/>
        <c:crossBetween val="midCat"/>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C0C0C0"/>
    </a:solidFill>
    <a:ln w="3175">
      <a:solidFill>
        <a:srgbClr val="000000"/>
      </a:solidFill>
    </a:ln>
  </c:spPr>
  <c:txPr>
    <a:bodyPr vert="horz" rot="0"/>
    <a:lstStyle/>
    <a:p>
      <a:pPr>
        <a:defRPr lang="en-US" cap="none" sz="900" b="0" i="0" u="none" baseline="0">
          <a:solidFill>
            <a:srgbClr val="000000"/>
          </a:solidFil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Post1-Pre2</a:t>
            </a:r>
          </a:p>
        </c:rich>
      </c:tx>
      <c:layout/>
      <c:spPr>
        <a:noFill/>
        <a:ln>
          <a:noFill/>
        </a:ln>
      </c:spPr>
    </c:title>
    <c:plotArea>
      <c:layout/>
      <c:scatterChart>
        <c:scatterStyle val="lineMarker"/>
        <c:varyColors val="0"/>
        <c:ser>
          <c:idx val="0"/>
          <c:order val="0"/>
          <c:tx>
            <c:strRef>
              <c:f>'Sheet 1'!$B$42</c:f>
              <c:strCache>
                <c:ptCount val="1"/>
                <c:pt idx="0">
                  <c:v>Control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000000"/>
                </a:solidFill>
              </a:ln>
            </c:spPr>
          </c:marker>
          <c:trendline>
            <c:name>Control</c:name>
            <c:spPr>
              <a:ln w="25400">
                <a:solidFill>
                  <a:srgbClr val="0000FF"/>
                </a:solidFill>
              </a:ln>
            </c:spPr>
            <c:trendlineType val="linear"/>
            <c:dispEq val="0"/>
            <c:dispRSqr val="0"/>
          </c:trendline>
          <c:xVal>
            <c:strRef>
              <c:f>'Sheet 1'!#REF!</c:f>
              <c:strCache>
                <c:ptCount val="1"/>
                <c:pt idx="0">
                  <c:v>1</c:v>
                </c:pt>
              </c:strCache>
            </c:strRef>
          </c:xVal>
          <c:yVal>
            <c:numRef>
              <c:f>'Sheet 1'!#REF!</c:f>
              <c:numCache>
                <c:ptCount val="1"/>
                <c:pt idx="0">
                  <c:v>1</c:v>
                </c:pt>
              </c:numCache>
            </c:numRef>
          </c:yVal>
          <c:smooth val="0"/>
        </c:ser>
        <c:ser>
          <c:idx val="1"/>
          <c:order val="1"/>
          <c:tx>
            <c:strRef>
              <c:f>'Sheet 1'!$B$73</c:f>
              <c:strCache>
                <c:ptCount val="1"/>
                <c:pt idx="0">
                  <c:v>Exptal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000000"/>
                </a:solidFill>
              </a:ln>
            </c:spPr>
          </c:marker>
          <c:trendline>
            <c:name>Exptal</c:name>
            <c:spPr>
              <a:ln w="25400">
                <a:solidFill>
                  <a:srgbClr val="FF0000"/>
                </a:solidFill>
              </a:ln>
            </c:spPr>
            <c:trendlineType val="linear"/>
            <c:dispEq val="0"/>
            <c:dispRSqr val="0"/>
          </c:trendline>
          <c:xVal>
            <c:strRef>
              <c:f>'Sheet 1'!#REF!</c:f>
              <c:strCache>
                <c:ptCount val="1"/>
                <c:pt idx="0">
                  <c:v>1</c:v>
                </c:pt>
              </c:strCache>
            </c:strRef>
          </c:xVal>
          <c:yVal>
            <c:numRef>
              <c:f>'Sheet 1'!#REF!</c:f>
              <c:numCache>
                <c:ptCount val="1"/>
                <c:pt idx="0">
                  <c:v>1</c:v>
                </c:pt>
              </c:numCache>
            </c:numRef>
          </c:yVal>
          <c:smooth val="0"/>
        </c:ser>
        <c:ser>
          <c:idx val="2"/>
          <c:order val="2"/>
          <c:tx>
            <c:v>Value of X</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strRef>
              <c:f>'Sheet 1'!#REF!</c:f>
              <c:strCache>
                <c:ptCount val="1"/>
                <c:pt idx="0">
                  <c:v>1</c:v>
                </c:pt>
              </c:strCache>
            </c:strRef>
          </c:xVal>
          <c:yVal>
            <c:numRef>
              <c:f>'Sheet 1'!#REF!</c:f>
              <c:numCache>
                <c:ptCount val="1"/>
                <c:pt idx="0">
                  <c:v>1</c:v>
                </c:pt>
              </c:numCache>
            </c:numRef>
          </c:yVal>
          <c:smooth val="0"/>
        </c:ser>
        <c:axId val="66134453"/>
        <c:axId val="58339166"/>
      </c:scatterChart>
      <c:valAx>
        <c:axId val="66134453"/>
        <c:scaling>
          <c:orientation val="minMax"/>
        </c:scaling>
        <c:axPos val="b"/>
        <c:title>
          <c:tx>
            <c:rich>
              <a:bodyPr vert="horz" rot="0" anchor="ctr"/>
              <a:lstStyle/>
              <a:p>
                <a:pPr algn="ctr">
                  <a:defRPr/>
                </a:pPr>
                <a:r>
                  <a:rPr lang="en-US" cap="none" sz="900" b="0" i="0" u="none" baseline="0">
                    <a:solidFill>
                      <a:srgbClr val="000000"/>
                    </a:solidFill>
                  </a:rPr>
                  <a:t>X</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8339166"/>
        <c:crosses val="autoZero"/>
        <c:crossBetween val="midCat"/>
        <c:dispUnits/>
      </c:valAx>
      <c:valAx>
        <c:axId val="58339166"/>
        <c:scaling>
          <c:orientation val="minMax"/>
        </c:scaling>
        <c:axPos val="l"/>
        <c:delete val="0"/>
        <c:numFmt formatCode="General" sourceLinked="1"/>
        <c:majorTickMark val="out"/>
        <c:minorTickMark val="none"/>
        <c:tickLblPos val="nextTo"/>
        <c:spPr>
          <a:ln w="3175">
            <a:solidFill>
              <a:srgbClr val="000000"/>
            </a:solidFill>
          </a:ln>
        </c:spPr>
        <c:crossAx val="66134453"/>
        <c:crosses val="autoZero"/>
        <c:crossBetween val="midCat"/>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C0C0C0"/>
    </a:solidFill>
    <a:ln w="3175">
      <a:solidFill>
        <a:srgbClr val="000000"/>
      </a:solidFill>
    </a:ln>
  </c:spPr>
  <c:txPr>
    <a:bodyPr vert="horz" rot="0"/>
    <a:lstStyle/>
    <a:p>
      <a:pPr>
        <a:defRPr lang="en-US" cap="none" sz="900" b="0" i="0" u="none" baseline="0">
          <a:solidFill>
            <a:srgbClr val="000000"/>
          </a:solidFil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Post2-Pre2</a:t>
            </a:r>
          </a:p>
        </c:rich>
      </c:tx>
      <c:layout/>
      <c:spPr>
        <a:noFill/>
        <a:ln>
          <a:noFill/>
        </a:ln>
      </c:spPr>
    </c:title>
    <c:plotArea>
      <c:layout/>
      <c:scatterChart>
        <c:scatterStyle val="lineMarker"/>
        <c:varyColors val="0"/>
        <c:ser>
          <c:idx val="0"/>
          <c:order val="0"/>
          <c:tx>
            <c:strRef>
              <c:f>'Sheet 1'!$B$42</c:f>
              <c:strCache>
                <c:ptCount val="1"/>
                <c:pt idx="0">
                  <c:v>Control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000000"/>
                </a:solidFill>
              </a:ln>
            </c:spPr>
          </c:marker>
          <c:trendline>
            <c:name>Control</c:name>
            <c:spPr>
              <a:ln w="25400">
                <a:solidFill>
                  <a:srgbClr val="0000FF"/>
                </a:solidFill>
              </a:ln>
            </c:spPr>
            <c:trendlineType val="linear"/>
            <c:dispEq val="0"/>
            <c:dispRSqr val="0"/>
          </c:trendline>
          <c:xVal>
            <c:strRef>
              <c:f>'Sheet 1'!#REF!</c:f>
              <c:strCache>
                <c:ptCount val="1"/>
                <c:pt idx="0">
                  <c:v>1</c:v>
                </c:pt>
              </c:strCache>
            </c:strRef>
          </c:xVal>
          <c:yVal>
            <c:numRef>
              <c:f>'Sheet 1'!#REF!</c:f>
              <c:numCache>
                <c:ptCount val="1"/>
                <c:pt idx="0">
                  <c:v>1</c:v>
                </c:pt>
              </c:numCache>
            </c:numRef>
          </c:yVal>
          <c:smooth val="0"/>
        </c:ser>
        <c:ser>
          <c:idx val="1"/>
          <c:order val="1"/>
          <c:tx>
            <c:strRef>
              <c:f>'Sheet 1'!$B$73</c:f>
              <c:strCache>
                <c:ptCount val="1"/>
                <c:pt idx="0">
                  <c:v>Exptal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000000"/>
                </a:solidFill>
              </a:ln>
            </c:spPr>
          </c:marker>
          <c:trendline>
            <c:name>Exptal</c:name>
            <c:spPr>
              <a:ln w="25400">
                <a:solidFill>
                  <a:srgbClr val="FF0000"/>
                </a:solidFill>
              </a:ln>
            </c:spPr>
            <c:trendlineType val="linear"/>
            <c:dispEq val="0"/>
            <c:dispRSqr val="0"/>
          </c:trendline>
          <c:xVal>
            <c:strRef>
              <c:f>'Sheet 1'!#REF!</c:f>
              <c:strCache>
                <c:ptCount val="1"/>
                <c:pt idx="0">
                  <c:v>1</c:v>
                </c:pt>
              </c:strCache>
            </c:strRef>
          </c:xVal>
          <c:yVal>
            <c:numRef>
              <c:f>'Sheet 1'!#REF!</c:f>
              <c:numCache>
                <c:ptCount val="1"/>
                <c:pt idx="0">
                  <c:v>1</c:v>
                </c:pt>
              </c:numCache>
            </c:numRef>
          </c:yVal>
          <c:smooth val="0"/>
        </c:ser>
        <c:ser>
          <c:idx val="2"/>
          <c:order val="2"/>
          <c:tx>
            <c:v>Value of X</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strRef>
              <c:f>'Sheet 1'!#REF!</c:f>
              <c:strCache>
                <c:ptCount val="1"/>
                <c:pt idx="0">
                  <c:v>1</c:v>
                </c:pt>
              </c:strCache>
            </c:strRef>
          </c:xVal>
          <c:yVal>
            <c:numRef>
              <c:f>'Sheet 1'!#REF!</c:f>
              <c:numCache>
                <c:ptCount val="1"/>
                <c:pt idx="0">
                  <c:v>1</c:v>
                </c:pt>
              </c:numCache>
            </c:numRef>
          </c:yVal>
          <c:smooth val="0"/>
        </c:ser>
        <c:axId val="55290447"/>
        <c:axId val="27851976"/>
      </c:scatterChart>
      <c:valAx>
        <c:axId val="55290447"/>
        <c:scaling>
          <c:orientation val="minMax"/>
        </c:scaling>
        <c:axPos val="b"/>
        <c:title>
          <c:tx>
            <c:rich>
              <a:bodyPr vert="horz" rot="0" anchor="ctr"/>
              <a:lstStyle/>
              <a:p>
                <a:pPr algn="ctr">
                  <a:defRPr/>
                </a:pPr>
                <a:r>
                  <a:rPr lang="en-US" cap="none" sz="900" b="0" i="0" u="none" baseline="0">
                    <a:solidFill>
                      <a:srgbClr val="000000"/>
                    </a:solidFill>
                  </a:rPr>
                  <a:t>X</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7851976"/>
        <c:crosses val="autoZero"/>
        <c:crossBetween val="midCat"/>
        <c:dispUnits/>
      </c:valAx>
      <c:valAx>
        <c:axId val="27851976"/>
        <c:scaling>
          <c:orientation val="minMax"/>
        </c:scaling>
        <c:axPos val="l"/>
        <c:delete val="0"/>
        <c:numFmt formatCode="General" sourceLinked="1"/>
        <c:majorTickMark val="out"/>
        <c:minorTickMark val="none"/>
        <c:tickLblPos val="nextTo"/>
        <c:spPr>
          <a:ln w="3175">
            <a:solidFill>
              <a:srgbClr val="000000"/>
            </a:solidFill>
          </a:ln>
        </c:spPr>
        <c:crossAx val="55290447"/>
        <c:crosses val="autoZero"/>
        <c:crossBetween val="midCat"/>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C0C0C0"/>
    </a:solidFill>
    <a:ln w="3175">
      <a:solidFill>
        <a:srgbClr val="000000"/>
      </a:solidFill>
    </a:ln>
  </c:spPr>
  <c:txPr>
    <a:bodyPr vert="horz" rot="0"/>
    <a:lstStyle/>
    <a:p>
      <a:pPr>
        <a:defRPr lang="en-US" cap="none" sz="9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Post1-Pre2</a:t>
            </a:r>
          </a:p>
        </c:rich>
      </c:tx>
      <c:layout>
        <c:manualLayout>
          <c:xMode val="factor"/>
          <c:yMode val="factor"/>
          <c:x val="-0.391"/>
          <c:y val="0.044"/>
        </c:manualLayout>
      </c:layout>
      <c:spPr>
        <a:noFill/>
        <a:ln>
          <a:noFill/>
        </a:ln>
      </c:spPr>
    </c:title>
    <c:plotArea>
      <c:layout>
        <c:manualLayout>
          <c:xMode val="edge"/>
          <c:yMode val="edge"/>
          <c:x val="0"/>
          <c:y val="0.21825"/>
          <c:w val="1"/>
          <c:h val="0.72775"/>
        </c:manualLayout>
      </c:layout>
      <c:scatterChart>
        <c:scatterStyle val="lineMarker"/>
        <c:varyColors val="0"/>
        <c:ser>
          <c:idx val="0"/>
          <c:order val="0"/>
          <c:tx>
            <c:strRef>
              <c:f>'Sheet 1'!$B$42</c:f>
              <c:strCache>
                <c:ptCount val="1"/>
                <c:pt idx="0">
                  <c:v>Control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000000"/>
                </a:solidFill>
              </a:ln>
            </c:spPr>
          </c:marker>
          <c:trendline>
            <c:spPr>
              <a:ln w="25400">
                <a:solidFill>
                  <a:srgbClr val="0000FF"/>
                </a:solidFill>
              </a:ln>
            </c:spPr>
            <c:trendlineType val="linear"/>
            <c:dispEq val="0"/>
            <c:dispRSqr val="0"/>
          </c:trendline>
          <c:xVal>
            <c:numRef>
              <c:f>'Sheet 1'!$D$42:$D$61</c:f>
              <c:numCache/>
            </c:numRef>
          </c:xVal>
          <c:yVal>
            <c:numRef>
              <c:f>'Sheet 1'!$L$42:$L$61</c:f>
              <c:numCache/>
            </c:numRef>
          </c:yVal>
          <c:smooth val="0"/>
        </c:ser>
        <c:ser>
          <c:idx val="1"/>
          <c:order val="1"/>
          <c:tx>
            <c:strRef>
              <c:f>'Sheet 1'!$B$73</c:f>
              <c:strCache>
                <c:ptCount val="1"/>
                <c:pt idx="0">
                  <c:v>Exptal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000000"/>
                </a:solidFill>
              </a:ln>
            </c:spPr>
          </c:marker>
          <c:trendline>
            <c:spPr>
              <a:ln w="25400">
                <a:solidFill>
                  <a:srgbClr val="FF0000"/>
                </a:solidFill>
              </a:ln>
            </c:spPr>
            <c:trendlineType val="linear"/>
            <c:dispEq val="0"/>
            <c:dispRSqr val="0"/>
          </c:trendline>
          <c:xVal>
            <c:numRef>
              <c:f>'Sheet 1'!$D$73:$D$92</c:f>
              <c:numCache/>
            </c:numRef>
          </c:xVal>
          <c:yVal>
            <c:numRef>
              <c:f>'Sheet 1'!$L$73:$L$92</c:f>
              <c:numCache/>
            </c:numRef>
          </c:yVal>
          <c:smooth val="0"/>
        </c:ser>
        <c:ser>
          <c:idx val="2"/>
          <c:order val="2"/>
          <c:tx>
            <c:v>Value of X</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1'!$J$108:$J$109</c:f>
              <c:numCache/>
            </c:numRef>
          </c:xVal>
          <c:yVal>
            <c:numRef>
              <c:f>'Sheet 1'!$L$106:$L$107</c:f>
              <c:numCache/>
            </c:numRef>
          </c:yVal>
          <c:smooth val="0"/>
        </c:ser>
        <c:axId val="16173333"/>
        <c:axId val="11342270"/>
      </c:scatterChart>
      <c:valAx>
        <c:axId val="16173333"/>
        <c:scaling>
          <c:orientation val="minMax"/>
        </c:scaling>
        <c:axPos val="b"/>
        <c:title>
          <c:tx>
            <c:rich>
              <a:bodyPr vert="horz" rot="0" anchor="ctr"/>
              <a:lstStyle/>
              <a:p>
                <a:pPr algn="ctr">
                  <a:defRPr/>
                </a:pPr>
                <a:r>
                  <a:rPr lang="en-US" cap="none" sz="900" b="0" i="0" u="none" baseline="0">
                    <a:solidFill>
                      <a:srgbClr val="000000"/>
                    </a:solidFill>
                  </a:rPr>
                  <a:t>X</a:t>
                </a:r>
              </a:p>
            </c:rich>
          </c:tx>
          <c:layout>
            <c:manualLayout>
              <c:xMode val="factor"/>
              <c:yMode val="factor"/>
              <c:x val="0.028"/>
              <c:y val="0.004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1342270"/>
        <c:crosses val="autoZero"/>
        <c:crossBetween val="midCat"/>
        <c:dispUnits/>
      </c:valAx>
      <c:valAx>
        <c:axId val="11342270"/>
        <c:scaling>
          <c:orientation val="minMax"/>
        </c:scaling>
        <c:axPos val="l"/>
        <c:delete val="0"/>
        <c:numFmt formatCode="General" sourceLinked="1"/>
        <c:majorTickMark val="out"/>
        <c:minorTickMark val="none"/>
        <c:tickLblPos val="nextTo"/>
        <c:spPr>
          <a:ln w="3175">
            <a:solidFill>
              <a:srgbClr val="000000"/>
            </a:solidFill>
          </a:ln>
        </c:spPr>
        <c:crossAx val="16173333"/>
        <c:crosses val="autoZero"/>
        <c:crossBetween val="midCat"/>
        <c:dispUnits/>
      </c:valAx>
      <c:spPr>
        <a:solidFill>
          <a:srgbClr val="FFFFFF"/>
        </a:solidFill>
        <a:ln w="12700">
          <a:solidFill>
            <a:srgbClr val="808080"/>
          </a:solidFill>
        </a:ln>
      </c:spPr>
    </c:plotArea>
    <c:legend>
      <c:legendPos val="r"/>
      <c:layout>
        <c:manualLayout>
          <c:xMode val="edge"/>
          <c:yMode val="edge"/>
          <c:x val="0.48075"/>
          <c:y val="0.00675"/>
          <c:w val="0.50325"/>
          <c:h val="0.213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C0C0C0"/>
    </a:solidFill>
    <a:ln w="3175">
      <a:solidFill>
        <a:srgbClr val="000000"/>
      </a:solidFill>
    </a:ln>
  </c:spPr>
  <c:txPr>
    <a:bodyPr vert="horz" rot="0"/>
    <a:lstStyle/>
    <a:p>
      <a:pPr>
        <a:defRPr lang="en-US" cap="none" sz="900" b="0" i="0" u="none" baseline="0">
          <a:solidFill>
            <a:srgbClr val="000000"/>
          </a:solidFil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Post2-Post1</a:t>
            </a:r>
          </a:p>
        </c:rich>
      </c:tx>
      <c:layout/>
      <c:spPr>
        <a:noFill/>
        <a:ln>
          <a:noFill/>
        </a:ln>
      </c:spPr>
    </c:title>
    <c:plotArea>
      <c:layout/>
      <c:scatterChart>
        <c:scatterStyle val="lineMarker"/>
        <c:varyColors val="0"/>
        <c:ser>
          <c:idx val="0"/>
          <c:order val="0"/>
          <c:tx>
            <c:strRef>
              <c:f>'Sheet 1'!$B$42</c:f>
              <c:strCache>
                <c:ptCount val="1"/>
                <c:pt idx="0">
                  <c:v>Control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000000"/>
                </a:solidFill>
              </a:ln>
            </c:spPr>
          </c:marker>
          <c:trendline>
            <c:name>Control</c:name>
            <c:spPr>
              <a:ln w="25400">
                <a:solidFill>
                  <a:srgbClr val="0000FF"/>
                </a:solidFill>
              </a:ln>
            </c:spPr>
            <c:trendlineType val="linear"/>
            <c:dispEq val="0"/>
            <c:dispRSqr val="0"/>
          </c:trendline>
          <c:xVal>
            <c:strRef>
              <c:f>'Sheet 1'!#REF!</c:f>
              <c:strCache>
                <c:ptCount val="1"/>
                <c:pt idx="0">
                  <c:v>1</c:v>
                </c:pt>
              </c:strCache>
            </c:strRef>
          </c:xVal>
          <c:yVal>
            <c:numRef>
              <c:f>'Sheet 1'!#REF!</c:f>
              <c:numCache>
                <c:ptCount val="1"/>
                <c:pt idx="0">
                  <c:v>1</c:v>
                </c:pt>
              </c:numCache>
            </c:numRef>
          </c:yVal>
          <c:smooth val="0"/>
        </c:ser>
        <c:ser>
          <c:idx val="1"/>
          <c:order val="1"/>
          <c:tx>
            <c:strRef>
              <c:f>'Sheet 1'!$B$73</c:f>
              <c:strCache>
                <c:ptCount val="1"/>
                <c:pt idx="0">
                  <c:v>Exptal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000000"/>
                </a:solidFill>
              </a:ln>
            </c:spPr>
          </c:marker>
          <c:trendline>
            <c:name>Exptal</c:name>
            <c:spPr>
              <a:ln w="25400">
                <a:solidFill>
                  <a:srgbClr val="FF0000"/>
                </a:solidFill>
              </a:ln>
            </c:spPr>
            <c:trendlineType val="linear"/>
            <c:dispEq val="0"/>
            <c:dispRSqr val="0"/>
          </c:trendline>
          <c:xVal>
            <c:strRef>
              <c:f>'Sheet 1'!#REF!</c:f>
              <c:strCache>
                <c:ptCount val="1"/>
                <c:pt idx="0">
                  <c:v>1</c:v>
                </c:pt>
              </c:strCache>
            </c:strRef>
          </c:xVal>
          <c:yVal>
            <c:numRef>
              <c:f>'Sheet 1'!#REF!</c:f>
              <c:numCache>
                <c:ptCount val="1"/>
                <c:pt idx="0">
                  <c:v>1</c:v>
                </c:pt>
              </c:numCache>
            </c:numRef>
          </c:yVal>
          <c:smooth val="0"/>
        </c:ser>
        <c:ser>
          <c:idx val="2"/>
          <c:order val="2"/>
          <c:tx>
            <c:v>Value of X</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strRef>
              <c:f>'Sheet 1'!#REF!</c:f>
              <c:strCache>
                <c:ptCount val="1"/>
                <c:pt idx="0">
                  <c:v>1</c:v>
                </c:pt>
              </c:strCache>
            </c:strRef>
          </c:xVal>
          <c:yVal>
            <c:numRef>
              <c:f>'Sheet 1'!#REF!</c:f>
              <c:numCache>
                <c:ptCount val="1"/>
                <c:pt idx="0">
                  <c:v>1</c:v>
                </c:pt>
              </c:numCache>
            </c:numRef>
          </c:yVal>
          <c:smooth val="0"/>
        </c:ser>
        <c:axId val="49341193"/>
        <c:axId val="41417554"/>
      </c:scatterChart>
      <c:valAx>
        <c:axId val="49341193"/>
        <c:scaling>
          <c:orientation val="minMax"/>
        </c:scaling>
        <c:axPos val="b"/>
        <c:title>
          <c:tx>
            <c:rich>
              <a:bodyPr vert="horz" rot="0" anchor="ctr"/>
              <a:lstStyle/>
              <a:p>
                <a:pPr algn="ctr">
                  <a:defRPr/>
                </a:pPr>
                <a:r>
                  <a:rPr lang="en-US" cap="none" sz="900" b="0" i="0" u="none" baseline="0">
                    <a:solidFill>
                      <a:srgbClr val="000000"/>
                    </a:solidFill>
                  </a:rPr>
                  <a:t>X</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1417554"/>
        <c:crosses val="autoZero"/>
        <c:crossBetween val="midCat"/>
        <c:dispUnits/>
      </c:valAx>
      <c:valAx>
        <c:axId val="41417554"/>
        <c:scaling>
          <c:orientation val="minMax"/>
        </c:scaling>
        <c:axPos val="l"/>
        <c:delete val="0"/>
        <c:numFmt formatCode="General" sourceLinked="1"/>
        <c:majorTickMark val="out"/>
        <c:minorTickMark val="none"/>
        <c:tickLblPos val="nextTo"/>
        <c:spPr>
          <a:ln w="3175">
            <a:solidFill>
              <a:srgbClr val="000000"/>
            </a:solidFill>
          </a:ln>
        </c:spPr>
        <c:crossAx val="49341193"/>
        <c:crosses val="autoZero"/>
        <c:crossBetween val="midCat"/>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C0C0C0"/>
    </a:solidFill>
    <a:ln w="3175">
      <a:solidFill>
        <a:srgbClr val="000000"/>
      </a:solidFill>
    </a:ln>
  </c:spPr>
  <c:txPr>
    <a:bodyPr vert="horz" rot="0"/>
    <a:lstStyle/>
    <a:p>
      <a:pPr>
        <a:defRPr lang="en-US" cap="none" sz="900" b="0" i="0" u="none" baseline="0">
          <a:solidFill>
            <a:srgbClr val="000000"/>
          </a:solidFil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0" i="0" u="none" baseline="0">
                <a:solidFill>
                  <a:srgbClr val="000000"/>
                </a:solidFill>
              </a:rPr>
              <a:t>Means and SDs</a:t>
            </a:r>
          </a:p>
        </c:rich>
      </c:tx>
      <c:layout>
        <c:manualLayout>
          <c:xMode val="factor"/>
          <c:yMode val="factor"/>
          <c:x val="-0.34825"/>
          <c:y val="0.0445"/>
        </c:manualLayout>
      </c:layout>
      <c:spPr>
        <a:noFill/>
        <a:ln>
          <a:noFill/>
        </a:ln>
      </c:spPr>
    </c:title>
    <c:plotArea>
      <c:layout>
        <c:manualLayout>
          <c:xMode val="edge"/>
          <c:yMode val="edge"/>
          <c:x val="0.05025"/>
          <c:y val="0.17625"/>
          <c:w val="0.93975"/>
          <c:h val="0.7185"/>
        </c:manualLayout>
      </c:layout>
      <c:scatterChart>
        <c:scatterStyle val="lineMarker"/>
        <c:varyColors val="0"/>
        <c:ser>
          <c:idx val="0"/>
          <c:order val="0"/>
          <c:tx>
            <c:strRef>
              <c:f>'Sheet 1'!$T$5</c:f>
              <c:strCache>
                <c:ptCount val="1"/>
                <c:pt idx="0">
                  <c:v>Control</c:v>
                </c:pt>
              </c:strCache>
            </c:strRef>
          </c:tx>
          <c:spPr>
            <a:ln w="3175">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000000"/>
                </a:solidFill>
              </a:ln>
            </c:spPr>
          </c:marker>
          <c:errBars>
            <c:errDir val="y"/>
            <c:errBarType val="both"/>
            <c:errValType val="cust"/>
            <c:plus>
              <c:numRef>
                <c:f>'Sheet 1'!$U$8:$X$8</c:f>
                <c:numCache>
                  <c:ptCount val="4"/>
                  <c:pt idx="0">
                    <c:v>21.911795113465768</c:v>
                  </c:pt>
                  <c:pt idx="1">
                    <c:v>21.096269939867266</c:v>
                  </c:pt>
                  <c:pt idx="2">
                    <c:v>22.655244592733524</c:v>
                  </c:pt>
                  <c:pt idx="3">
                    <c:v>23.922583581514715</c:v>
                  </c:pt>
                </c:numCache>
              </c:numRef>
            </c:plus>
            <c:minus>
              <c:numRef>
                <c:f>'Sheet 1'!$U$9:$X$9</c:f>
                <c:numCache>
                  <c:ptCount val="4"/>
                  <c:pt idx="0">
                    <c:v>21.911795113465768</c:v>
                  </c:pt>
                  <c:pt idx="1">
                    <c:v>21.096269939867266</c:v>
                  </c:pt>
                  <c:pt idx="2">
                    <c:v>22.655244592733524</c:v>
                  </c:pt>
                  <c:pt idx="3">
                    <c:v>23.922583581514715</c:v>
                  </c:pt>
                </c:numCache>
              </c:numRef>
            </c:minus>
            <c:noEndCap val="0"/>
            <c:spPr>
              <a:ln w="12700">
                <a:solidFill>
                  <a:srgbClr val="000000"/>
                </a:solidFill>
              </a:ln>
            </c:spPr>
          </c:errBars>
          <c:xVal>
            <c:numRef>
              <c:f>'Sheet 1'!$U$6:$X$6</c:f>
              <c:numCache/>
            </c:numRef>
          </c:xVal>
          <c:yVal>
            <c:numRef>
              <c:f>'Sheet 1'!$U$7:$X$7</c:f>
              <c:numCache/>
            </c:numRef>
          </c:yVal>
          <c:smooth val="0"/>
        </c:ser>
        <c:ser>
          <c:idx val="1"/>
          <c:order val="1"/>
          <c:tx>
            <c:strRef>
              <c:f>'Sheet 1'!$T$10</c:f>
              <c:strCache>
                <c:ptCount val="1"/>
                <c:pt idx="0">
                  <c:v>Exptal</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000000"/>
                </a:solidFill>
              </a:ln>
            </c:spPr>
          </c:marker>
          <c:errBars>
            <c:errDir val="y"/>
            <c:errBarType val="both"/>
            <c:errValType val="cust"/>
            <c:plus>
              <c:numRef>
                <c:f>'Sheet 1'!$U$13:$X$13</c:f>
                <c:numCache>
                  <c:ptCount val="4"/>
                  <c:pt idx="0">
                    <c:v>20.721381402404134</c:v>
                  </c:pt>
                  <c:pt idx="1">
                    <c:v>22.441585417311746</c:v>
                  </c:pt>
                  <c:pt idx="2">
                    <c:v>26.869218273256372</c:v>
                  </c:pt>
                  <c:pt idx="3">
                    <c:v>23.215835517433177</c:v>
                  </c:pt>
                </c:numCache>
              </c:numRef>
            </c:plus>
            <c:minus>
              <c:numRef>
                <c:f>'Sheet 1'!$U$14:$X$14</c:f>
                <c:numCache>
                  <c:ptCount val="4"/>
                  <c:pt idx="0">
                    <c:v>20.721381402404134</c:v>
                  </c:pt>
                  <c:pt idx="1">
                    <c:v>22.441585417311746</c:v>
                  </c:pt>
                  <c:pt idx="2">
                    <c:v>26.869218273256372</c:v>
                  </c:pt>
                  <c:pt idx="3">
                    <c:v>23.215835517433177</c:v>
                  </c:pt>
                </c:numCache>
              </c:numRef>
            </c:minus>
            <c:noEndCap val="0"/>
            <c:spPr>
              <a:ln w="12700">
                <a:solidFill>
                  <a:srgbClr val="000000"/>
                </a:solidFill>
              </a:ln>
            </c:spPr>
          </c:errBars>
          <c:xVal>
            <c:numRef>
              <c:f>'Sheet 1'!$U$11:$X$11</c:f>
              <c:numCache/>
            </c:numRef>
          </c:xVal>
          <c:yVal>
            <c:numRef>
              <c:f>'Sheet 1'!$U$12:$X$12</c:f>
              <c:numCache/>
            </c:numRef>
          </c:yVal>
          <c:smooth val="0"/>
        </c:ser>
        <c:axId val="37213667"/>
        <c:axId val="66487548"/>
      </c:scatterChart>
      <c:valAx>
        <c:axId val="37213667"/>
        <c:scaling>
          <c:orientation val="minMax"/>
          <c:min val="0.5"/>
        </c:scaling>
        <c:axPos val="b"/>
        <c:title>
          <c:tx>
            <c:rich>
              <a:bodyPr vert="horz" rot="0" anchor="ctr"/>
              <a:lstStyle/>
              <a:p>
                <a:pPr algn="ctr">
                  <a:defRPr/>
                </a:pPr>
                <a:r>
                  <a:rPr lang="en-US" cap="none" sz="900" b="0" i="0" u="none" baseline="0">
                    <a:solidFill>
                      <a:srgbClr val="000000"/>
                    </a:solidFill>
                  </a:rPr>
                  <a:t>Trial</a:t>
                </a:r>
              </a:p>
            </c:rich>
          </c:tx>
          <c:layout>
            <c:manualLayout>
              <c:xMode val="factor"/>
              <c:yMode val="factor"/>
              <c:x val="0.00225"/>
              <c:y val="0.002"/>
            </c:manualLayout>
          </c:layout>
          <c:overlay val="0"/>
          <c:spPr>
            <a:noFill/>
            <a:ln>
              <a:noFill/>
            </a:ln>
          </c:spPr>
        </c:title>
        <c:delete val="0"/>
        <c:numFmt formatCode="General" sourceLinked="1"/>
        <c:majorTickMark val="out"/>
        <c:minorTickMark val="none"/>
        <c:tickLblPos val="none"/>
        <c:spPr>
          <a:ln w="3175">
            <a:solidFill>
              <a:srgbClr val="000000"/>
            </a:solidFill>
          </a:ln>
        </c:spPr>
        <c:crossAx val="66487548"/>
        <c:crosses val="autoZero"/>
        <c:crossBetween val="midCat"/>
        <c:dispUnits/>
      </c:valAx>
      <c:valAx>
        <c:axId val="66487548"/>
        <c:scaling>
          <c:orientation val="minMax"/>
        </c:scaling>
        <c:axPos val="l"/>
        <c:delete val="0"/>
        <c:numFmt formatCode="0" sourceLinked="0"/>
        <c:majorTickMark val="out"/>
        <c:minorTickMark val="none"/>
        <c:tickLblPos val="nextTo"/>
        <c:spPr>
          <a:ln w="3175">
            <a:solidFill>
              <a:srgbClr val="000000"/>
            </a:solidFill>
          </a:ln>
        </c:spPr>
        <c:crossAx val="37213667"/>
        <c:crossesAt val="0.5"/>
        <c:crossBetween val="midCat"/>
        <c:dispUnits/>
      </c:valAx>
      <c:spPr>
        <a:solidFill>
          <a:srgbClr val="FFFFFF"/>
        </a:solidFill>
        <a:ln w="12700">
          <a:solidFill>
            <a:srgbClr val="808080"/>
          </a:solidFill>
        </a:ln>
      </c:spPr>
    </c:plotArea>
    <c:legend>
      <c:legendPos val="r"/>
      <c:layout>
        <c:manualLayout>
          <c:xMode val="edge"/>
          <c:yMode val="edge"/>
          <c:x val="0.572"/>
          <c:y val="0.00625"/>
          <c:w val="0.409"/>
          <c:h val="0.1497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C0C0C0"/>
    </a:solidFill>
    <a:ln w="3175">
      <a:solidFill>
        <a:srgbClr val="000000"/>
      </a:solidFill>
    </a:ln>
  </c:spPr>
  <c:txPr>
    <a:bodyPr vert="horz" rot="0"/>
    <a:lstStyle/>
    <a:p>
      <a:pPr>
        <a:defRPr lang="en-US" cap="none" sz="900" b="0" i="0" u="none" baseline="0">
          <a:solidFill>
            <a:srgbClr val="000000"/>
          </a:solidFil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0" i="0" u="none" baseline="0">
                <a:solidFill>
                  <a:srgbClr val="000000"/>
                </a:solidFill>
              </a:rPr>
              <a:t>Means and SDs</a:t>
            </a:r>
          </a:p>
        </c:rich>
      </c:tx>
      <c:layout>
        <c:manualLayout>
          <c:xMode val="factor"/>
          <c:yMode val="factor"/>
          <c:x val="-0.32275"/>
          <c:y val="0.0415"/>
        </c:manualLayout>
      </c:layout>
      <c:spPr>
        <a:noFill/>
        <a:ln>
          <a:noFill/>
        </a:ln>
      </c:spPr>
    </c:title>
    <c:plotArea>
      <c:layout>
        <c:manualLayout>
          <c:xMode val="edge"/>
          <c:yMode val="edge"/>
          <c:x val="0"/>
          <c:y val="0.24025"/>
          <c:w val="0.997"/>
          <c:h val="0.56225"/>
        </c:manualLayout>
      </c:layout>
      <c:scatterChart>
        <c:scatterStyle val="lineMarker"/>
        <c:varyColors val="0"/>
        <c:ser>
          <c:idx val="0"/>
          <c:order val="0"/>
          <c:tx>
            <c:strRef>
              <c:f>'Sheet 1'!$T$18</c:f>
              <c:strCache>
                <c:ptCount val="1"/>
                <c:pt idx="0">
                  <c:v>Control</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000000"/>
                </a:solidFill>
              </a:ln>
            </c:spPr>
          </c:marker>
          <c:errBars>
            <c:errDir val="y"/>
            <c:errBarType val="both"/>
            <c:errValType val="cust"/>
            <c:plus>
              <c:numRef>
                <c:f>'Sheet 1'!$U$21:$X$21</c:f>
                <c:numCache>
                  <c:ptCount val="4"/>
                  <c:pt idx="0">
                    <c:v>22.56271167441014</c:v>
                  </c:pt>
                  <c:pt idx="1">
                    <c:v>21.73327274868774</c:v>
                  </c:pt>
                  <c:pt idx="2">
                    <c:v>23.716697529111343</c:v>
                  </c:pt>
                  <c:pt idx="3">
                    <c:v>24.73506950573426</c:v>
                  </c:pt>
                </c:numCache>
              </c:numRef>
            </c:plus>
            <c:minus>
              <c:numRef>
                <c:f>'Sheet 1'!$U$22:$X$22</c:f>
                <c:numCache>
                  <c:ptCount val="4"/>
                  <c:pt idx="0">
                    <c:v>21.36696500136037</c:v>
                  </c:pt>
                  <c:pt idx="1">
                    <c:v>20.627576164144386</c:v>
                  </c:pt>
                  <c:pt idx="2">
                    <c:v>22.423233036943884</c:v>
                  </c:pt>
                  <c:pt idx="3">
                    <c:v>23.3206608883973</c:v>
                  </c:pt>
                </c:numCache>
              </c:numRef>
            </c:minus>
            <c:noEndCap val="0"/>
            <c:spPr>
              <a:ln w="12700">
                <a:solidFill>
                  <a:srgbClr val="000000"/>
                </a:solidFill>
              </a:ln>
            </c:spPr>
          </c:errBars>
          <c:xVal>
            <c:numRef>
              <c:f>'Sheet 1'!$U$19:$X$19</c:f>
              <c:numCache/>
            </c:numRef>
          </c:xVal>
          <c:yVal>
            <c:numRef>
              <c:f>'Sheet 1'!$U$20:$X$20</c:f>
              <c:numCache/>
            </c:numRef>
          </c:yVal>
          <c:smooth val="0"/>
        </c:ser>
        <c:ser>
          <c:idx val="1"/>
          <c:order val="1"/>
          <c:tx>
            <c:strRef>
              <c:f>'Sheet 1'!$T$23</c:f>
              <c:strCache>
                <c:ptCount val="1"/>
                <c:pt idx="0">
                  <c:v>Exptal</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000000"/>
                </a:solidFill>
              </a:ln>
            </c:spPr>
          </c:marker>
          <c:errBars>
            <c:errDir val="y"/>
            <c:errBarType val="both"/>
            <c:errValType val="cust"/>
            <c:plus>
              <c:numRef>
                <c:f>'Sheet 1'!$U$26:$X$26</c:f>
                <c:numCache>
                  <c:ptCount val="4"/>
                  <c:pt idx="0">
                    <c:v>21.710549921182007</c:v>
                  </c:pt>
                  <c:pt idx="1">
                    <c:v>23.66385909909269</c:v>
                  </c:pt>
                  <c:pt idx="2">
                    <c:v>28.13863312789374</c:v>
                  </c:pt>
                  <c:pt idx="3">
                    <c:v>23.69846123406211</c:v>
                  </c:pt>
                </c:numCache>
              </c:numRef>
            </c:plus>
            <c:minus>
              <c:numRef>
                <c:f>'Sheet 1'!$U$27:$X$27</c:f>
                <c:numCache>
                  <c:ptCount val="4"/>
                  <c:pt idx="0">
                    <c:v>20.562690183796235</c:v>
                  </c:pt>
                  <c:pt idx="1">
                    <c:v>22.333487240575778</c:v>
                  </c:pt>
                  <c:pt idx="2">
                    <c:v>26.330066922249614</c:v>
                  </c:pt>
                  <c:pt idx="3">
                    <c:v>22.384703380042026</c:v>
                  </c:pt>
                </c:numCache>
              </c:numRef>
            </c:minus>
            <c:noEndCap val="0"/>
            <c:spPr>
              <a:ln w="12700">
                <a:solidFill>
                  <a:srgbClr val="000000"/>
                </a:solidFill>
              </a:ln>
            </c:spPr>
          </c:errBars>
          <c:xVal>
            <c:numRef>
              <c:f>'Sheet 1'!$U$24:$X$24</c:f>
              <c:numCache/>
            </c:numRef>
          </c:xVal>
          <c:yVal>
            <c:numRef>
              <c:f>'Sheet 1'!$U$25:$X$25</c:f>
              <c:numCache/>
            </c:numRef>
          </c:yVal>
          <c:smooth val="0"/>
        </c:ser>
        <c:axId val="61517021"/>
        <c:axId val="16782278"/>
      </c:scatterChart>
      <c:valAx>
        <c:axId val="61517021"/>
        <c:scaling>
          <c:orientation val="minMax"/>
          <c:min val="0.5"/>
        </c:scaling>
        <c:axPos val="b"/>
        <c:title>
          <c:tx>
            <c:rich>
              <a:bodyPr vert="horz" rot="0" anchor="ctr"/>
              <a:lstStyle/>
              <a:p>
                <a:pPr algn="ctr">
                  <a:defRPr/>
                </a:pPr>
                <a:r>
                  <a:rPr lang="en-US" cap="none" sz="900" b="0" i="0" u="none" baseline="0">
                    <a:solidFill>
                      <a:srgbClr val="000000"/>
                    </a:solidFill>
                  </a:rPr>
                  <a:t>Trial</a:t>
                </a:r>
              </a:p>
            </c:rich>
          </c:tx>
          <c:layout>
            <c:manualLayout>
              <c:xMode val="factor"/>
              <c:yMode val="factor"/>
              <c:x val="-0.0325"/>
              <c:y val="-0.001"/>
            </c:manualLayout>
          </c:layout>
          <c:overlay val="0"/>
          <c:spPr>
            <a:noFill/>
            <a:ln>
              <a:noFill/>
            </a:ln>
          </c:spPr>
        </c:title>
        <c:delete val="0"/>
        <c:numFmt formatCode="General" sourceLinked="1"/>
        <c:majorTickMark val="out"/>
        <c:minorTickMark val="none"/>
        <c:tickLblPos val="none"/>
        <c:spPr>
          <a:ln w="3175">
            <a:solidFill>
              <a:srgbClr val="000000"/>
            </a:solidFill>
          </a:ln>
        </c:spPr>
        <c:crossAx val="16782278"/>
        <c:crosses val="autoZero"/>
        <c:crossBetween val="midCat"/>
        <c:dispUnits/>
      </c:valAx>
      <c:valAx>
        <c:axId val="16782278"/>
        <c:scaling>
          <c:logBase val="10"/>
          <c:orientation val="minMax"/>
          <c:min val="10"/>
        </c:scaling>
        <c:axPos val="l"/>
        <c:delete val="0"/>
        <c:numFmt formatCode="0" sourceLinked="0"/>
        <c:majorTickMark val="out"/>
        <c:minorTickMark val="out"/>
        <c:tickLblPos val="nextTo"/>
        <c:spPr>
          <a:ln w="3175">
            <a:solidFill>
              <a:srgbClr val="000000"/>
            </a:solidFill>
          </a:ln>
        </c:spPr>
        <c:crossAx val="61517021"/>
        <c:crosses val="autoZero"/>
        <c:crossBetween val="midCat"/>
        <c:dispUnits/>
      </c:valAx>
      <c:spPr>
        <a:solidFill>
          <a:srgbClr val="FFFFFF"/>
        </a:solidFill>
        <a:ln w="12700">
          <a:solidFill>
            <a:srgbClr val="808080"/>
          </a:solidFill>
        </a:ln>
      </c:spPr>
    </c:plotArea>
    <c:legend>
      <c:legendPos val="r"/>
      <c:layout>
        <c:manualLayout>
          <c:xMode val="edge"/>
          <c:yMode val="edge"/>
          <c:x val="0.43775"/>
          <c:y val="0.00325"/>
          <c:w val="0.5495"/>
          <c:h val="0.197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C0C0C0"/>
    </a:solidFill>
    <a:ln w="3175">
      <a:solidFill>
        <a:srgbClr val="000000"/>
      </a:solidFill>
    </a:ln>
  </c:spPr>
  <c:txPr>
    <a:bodyPr vert="horz" rot="0"/>
    <a:lstStyle/>
    <a:p>
      <a:pPr>
        <a:defRPr lang="en-US" cap="none" sz="900" b="0" i="0" u="none" baseline="0">
          <a:solidFill>
            <a:srgbClr val="000000"/>
          </a:solidFil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0" i="0" u="none" baseline="0">
                <a:solidFill>
                  <a:srgbClr val="000000"/>
                </a:solidFill>
              </a:rPr>
              <a:t>Means and SDs</a:t>
            </a:r>
          </a:p>
        </c:rich>
      </c:tx>
      <c:layout>
        <c:manualLayout>
          <c:xMode val="factor"/>
          <c:yMode val="factor"/>
          <c:x val="-0.32275"/>
          <c:y val="0.0415"/>
        </c:manualLayout>
      </c:layout>
      <c:spPr>
        <a:noFill/>
        <a:ln>
          <a:noFill/>
        </a:ln>
      </c:spPr>
    </c:title>
    <c:plotArea>
      <c:layout>
        <c:manualLayout>
          <c:xMode val="edge"/>
          <c:yMode val="edge"/>
          <c:x val="0"/>
          <c:y val="0.211"/>
          <c:w val="0.9855"/>
          <c:h val="0.627"/>
        </c:manualLayout>
      </c:layout>
      <c:scatterChart>
        <c:scatterStyle val="lineMarker"/>
        <c:varyColors val="0"/>
        <c:ser>
          <c:idx val="0"/>
          <c:order val="0"/>
          <c:tx>
            <c:strRef>
              <c:f>'Sheet 1'!$AJ$16</c:f>
              <c:strCache>
                <c:ptCount val="1"/>
                <c:pt idx="0">
                  <c:v>Control</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000000"/>
                </a:solidFill>
              </a:ln>
            </c:spPr>
          </c:marker>
          <c:errBars>
            <c:errDir val="y"/>
            <c:errBarType val="both"/>
            <c:errValType val="cust"/>
            <c:plus>
              <c:numRef>
                <c:f>'Sheet 1'!$AK$19:$AN$19</c:f>
                <c:numCache>
                  <c:ptCount val="4"/>
                  <c:pt idx="0">
                    <c:v>18.253900485934196</c:v>
                  </c:pt>
                  <c:pt idx="1">
                    <c:v>17.107212341502873</c:v>
                  </c:pt>
                  <c:pt idx="2">
                    <c:v>20.791279367717436</c:v>
                  </c:pt>
                  <c:pt idx="3">
                    <c:v>19.315463480498863</c:v>
                  </c:pt>
                </c:numCache>
              </c:numRef>
            </c:plus>
            <c:minus>
              <c:numRef>
                <c:f>'Sheet 1'!$AK$20:$AN$20</c:f>
                <c:numCache>
                  <c:ptCount val="4"/>
                  <c:pt idx="0">
                    <c:v>20.87014234768509</c:v>
                  </c:pt>
                  <c:pt idx="1">
                    <c:v>19.941937132792475</c:v>
                  </c:pt>
                  <c:pt idx="2">
                    <c:v>21.337798812550602</c:v>
                  </c:pt>
                  <c:pt idx="3">
                    <c:v>21.918080277450883</c:v>
                  </c:pt>
                </c:numCache>
              </c:numRef>
            </c:minus>
            <c:noEndCap val="0"/>
            <c:spPr>
              <a:ln w="12700">
                <a:solidFill>
                  <a:srgbClr val="000000"/>
                </a:solidFill>
              </a:ln>
            </c:spPr>
          </c:errBars>
          <c:xVal>
            <c:numRef>
              <c:f>'Sheet 1'!$AK$17:$AN$17</c:f>
              <c:numCache/>
            </c:numRef>
          </c:xVal>
          <c:yVal>
            <c:numRef>
              <c:f>'Sheet 1'!$AK$18:$AN$18</c:f>
              <c:numCache/>
            </c:numRef>
          </c:yVal>
          <c:smooth val="0"/>
        </c:ser>
        <c:ser>
          <c:idx val="1"/>
          <c:order val="1"/>
          <c:tx>
            <c:strRef>
              <c:f>'Sheet 1'!$AJ$21</c:f>
              <c:strCache>
                <c:ptCount val="1"/>
                <c:pt idx="0">
                  <c:v>Exptal</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000000"/>
                </a:solidFill>
              </a:ln>
            </c:spPr>
          </c:marker>
          <c:errBars>
            <c:errDir val="y"/>
            <c:errBarType val="both"/>
            <c:errValType val="cust"/>
            <c:plus>
              <c:numRef>
                <c:f>'Sheet 1'!$AK$24:$AN$24</c:f>
                <c:numCache>
                  <c:ptCount val="4"/>
                  <c:pt idx="0">
                    <c:v>18.304749242864375</c:v>
                  </c:pt>
                  <c:pt idx="1">
                    <c:v>15.828312237484113</c:v>
                  </c:pt>
                  <c:pt idx="2">
                    <c:v>19.473953136388673</c:v>
                  </c:pt>
                  <c:pt idx="3">
                    <c:v>18.463732473453433</c:v>
                  </c:pt>
                </c:numCache>
              </c:numRef>
            </c:plus>
            <c:minus>
              <c:numRef>
                <c:f>'Sheet 1'!$AK$25:$AN$25</c:f>
                <c:numCache>
                  <c:ptCount val="4"/>
                  <c:pt idx="0">
                    <c:v>17.011972192879796</c:v>
                  </c:pt>
                  <c:pt idx="1">
                    <c:v>18.647787839246348</c:v>
                  </c:pt>
                  <c:pt idx="2">
                    <c:v>20.201229684732652</c:v>
                  </c:pt>
                  <c:pt idx="3">
                    <c:v>20.208206203979557</c:v>
                  </c:pt>
                </c:numCache>
              </c:numRef>
            </c:minus>
            <c:noEndCap val="0"/>
            <c:spPr>
              <a:ln w="12700">
                <a:solidFill>
                  <a:srgbClr val="000000"/>
                </a:solidFill>
              </a:ln>
            </c:spPr>
          </c:errBars>
          <c:xVal>
            <c:numRef>
              <c:f>'Sheet 1'!$AK$22:$AN$22</c:f>
              <c:numCache/>
            </c:numRef>
          </c:xVal>
          <c:yVal>
            <c:numRef>
              <c:f>'Sheet 1'!$AK$23:$AN$23</c:f>
              <c:numCache/>
            </c:numRef>
          </c:yVal>
          <c:smooth val="0"/>
        </c:ser>
        <c:axId val="16822775"/>
        <c:axId val="17187248"/>
      </c:scatterChart>
      <c:valAx>
        <c:axId val="16822775"/>
        <c:scaling>
          <c:orientation val="minMax"/>
          <c:min val="0.5"/>
        </c:scaling>
        <c:axPos val="b"/>
        <c:title>
          <c:tx>
            <c:rich>
              <a:bodyPr vert="horz" rot="0" anchor="ctr"/>
              <a:lstStyle/>
              <a:p>
                <a:pPr algn="ctr">
                  <a:defRPr/>
                </a:pPr>
                <a:r>
                  <a:rPr lang="en-US" cap="none" sz="900" b="0" i="0" u="none" baseline="0">
                    <a:solidFill>
                      <a:srgbClr val="000000"/>
                    </a:solidFill>
                  </a:rPr>
                  <a:t>Trial</a:t>
                </a:r>
              </a:p>
            </c:rich>
          </c:tx>
          <c:layout>
            <c:manualLayout>
              <c:xMode val="factor"/>
              <c:yMode val="factor"/>
              <c:x val="-0.0165"/>
              <c:y val="0.00175"/>
            </c:manualLayout>
          </c:layout>
          <c:overlay val="0"/>
          <c:spPr>
            <a:noFill/>
            <a:ln>
              <a:noFill/>
            </a:ln>
          </c:spPr>
        </c:title>
        <c:delete val="0"/>
        <c:numFmt formatCode="General" sourceLinked="1"/>
        <c:majorTickMark val="out"/>
        <c:minorTickMark val="none"/>
        <c:tickLblPos val="none"/>
        <c:spPr>
          <a:ln w="3175">
            <a:solidFill>
              <a:srgbClr val="000000"/>
            </a:solidFill>
          </a:ln>
        </c:spPr>
        <c:crossAx val="17187248"/>
        <c:crosses val="autoZero"/>
        <c:crossBetween val="midCat"/>
        <c:dispUnits/>
      </c:valAx>
      <c:valAx>
        <c:axId val="17187248"/>
        <c:scaling>
          <c:orientation val="minMax"/>
          <c:min val="10"/>
        </c:scaling>
        <c:axPos val="l"/>
        <c:delete val="0"/>
        <c:numFmt formatCode="0" sourceLinked="0"/>
        <c:majorTickMark val="out"/>
        <c:minorTickMark val="none"/>
        <c:tickLblPos val="nextTo"/>
        <c:spPr>
          <a:ln w="3175">
            <a:solidFill>
              <a:srgbClr val="000000"/>
            </a:solidFill>
          </a:ln>
        </c:spPr>
        <c:crossAx val="16822775"/>
        <c:crosses val="autoZero"/>
        <c:crossBetween val="midCat"/>
        <c:dispUnits/>
      </c:valAx>
      <c:spPr>
        <a:solidFill>
          <a:srgbClr val="FFFFFF"/>
        </a:solidFill>
        <a:ln w="12700">
          <a:solidFill>
            <a:srgbClr val="808080"/>
          </a:solidFill>
        </a:ln>
      </c:spPr>
    </c:plotArea>
    <c:legend>
      <c:legendPos val="r"/>
      <c:layout>
        <c:manualLayout>
          <c:xMode val="edge"/>
          <c:yMode val="edge"/>
          <c:x val="0.441"/>
          <c:y val="0.00625"/>
          <c:w val="0.5495"/>
          <c:h val="0.197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C0C0C0"/>
    </a:solidFill>
    <a:ln w="3175">
      <a:solidFill>
        <a:srgbClr val="000000"/>
      </a:solidFill>
    </a:ln>
  </c:spPr>
  <c:txPr>
    <a:bodyPr vert="horz" rot="0"/>
    <a:lstStyle/>
    <a:p>
      <a:pPr>
        <a:defRPr lang="en-US" cap="none" sz="900" b="0" i="0" u="none" baseline="0">
          <a:solidFill>
            <a:srgbClr val="000000"/>
          </a:solidFill>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0" i="0" u="none" baseline="0">
                <a:solidFill>
                  <a:srgbClr val="000000"/>
                </a:solidFill>
              </a:rPr>
              <a:t>Means and SDs</a:t>
            </a:r>
          </a:p>
        </c:rich>
      </c:tx>
      <c:layout/>
      <c:spPr>
        <a:noFill/>
        <a:ln>
          <a:noFill/>
        </a:ln>
      </c:spPr>
    </c:title>
    <c:plotArea>
      <c:layout/>
      <c:scatterChart>
        <c:scatterStyle val="lineMarker"/>
        <c:varyColors val="0"/>
        <c:ser>
          <c:idx val="0"/>
          <c:order val="0"/>
          <c:tx>
            <c:strRef>
              <c:f>'Sheet 1'!#REF!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000000"/>
                </a:solidFill>
              </a:ln>
            </c:spPr>
          </c:marker>
          <c:errBars>
            <c:errDir val="y"/>
            <c:errBarType val="both"/>
            <c:errValType val="cust"/>
            <c:plus>
              <c:numRef>
                <c:f>'Sheet 1'!#REF!</c:f>
                <c:numCache>
                  <c:ptCount val="1"/>
                  <c:pt idx="0">
                    <c:v>1</c:v>
                  </c:pt>
                </c:numCache>
              </c:numRef>
            </c:plus>
            <c:minus>
              <c:numRef>
                <c:f>'Sheet 1'!#REF!</c:f>
                <c:numCache>
                  <c:ptCount val="1"/>
                  <c:pt idx="0">
                    <c:v>1</c:v>
                  </c:pt>
                </c:numCache>
              </c:numRef>
            </c:minus>
            <c:noEndCap val="0"/>
            <c:spPr>
              <a:ln w="12700">
                <a:solidFill>
                  <a:srgbClr val="000000"/>
                </a:solidFill>
              </a:ln>
            </c:spPr>
          </c:errBars>
          <c:xVal>
            <c:strRef>
              <c:f>'Sheet 1'!#REF!</c:f>
              <c:strCache>
                <c:ptCount val="1"/>
                <c:pt idx="0">
                  <c:v>1</c:v>
                </c:pt>
              </c:strCache>
            </c:strRef>
          </c:xVal>
          <c:yVal>
            <c:numRef>
              <c:f>'Sheet 1'!#REF!</c:f>
              <c:numCache>
                <c:ptCount val="1"/>
                <c:pt idx="0">
                  <c:v>1</c:v>
                </c:pt>
              </c:numCache>
            </c:numRef>
          </c:yVal>
          <c:smooth val="0"/>
        </c:ser>
        <c:ser>
          <c:idx val="1"/>
          <c:order val="1"/>
          <c:tx>
            <c:strRef>
              <c:f>'Sheet 1'!#REF!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000000"/>
                </a:solidFill>
              </a:ln>
            </c:spPr>
          </c:marker>
          <c:errBars>
            <c:errDir val="y"/>
            <c:errBarType val="both"/>
            <c:errValType val="cust"/>
            <c:plus>
              <c:numRef>
                <c:f>'Sheet 1'!#REF!</c:f>
                <c:numCache>
                  <c:ptCount val="1"/>
                  <c:pt idx="0">
                    <c:v>1</c:v>
                  </c:pt>
                </c:numCache>
              </c:numRef>
            </c:plus>
            <c:minus>
              <c:numRef>
                <c:f>'Sheet 1'!#REF!</c:f>
                <c:numCache>
                  <c:ptCount val="1"/>
                  <c:pt idx="0">
                    <c:v>1</c:v>
                  </c:pt>
                </c:numCache>
              </c:numRef>
            </c:minus>
            <c:noEndCap val="0"/>
            <c:spPr>
              <a:ln w="12700">
                <a:solidFill>
                  <a:srgbClr val="000000"/>
                </a:solidFill>
              </a:ln>
            </c:spPr>
          </c:errBars>
          <c:xVal>
            <c:strRef>
              <c:f>'Sheet 1'!#REF!</c:f>
              <c:strCache>
                <c:ptCount val="1"/>
                <c:pt idx="0">
                  <c:v>1</c:v>
                </c:pt>
              </c:strCache>
            </c:strRef>
          </c:xVal>
          <c:yVal>
            <c:numRef>
              <c:f>'Sheet 1'!#REF!</c:f>
              <c:numCache>
                <c:ptCount val="1"/>
                <c:pt idx="0">
                  <c:v>1</c:v>
                </c:pt>
              </c:numCache>
            </c:numRef>
          </c:yVal>
          <c:smooth val="0"/>
        </c:ser>
        <c:axId val="20467505"/>
        <c:axId val="49989818"/>
      </c:scatterChart>
      <c:valAx>
        <c:axId val="20467505"/>
        <c:scaling>
          <c:orientation val="minMax"/>
          <c:min val="0.5"/>
        </c:scaling>
        <c:axPos val="b"/>
        <c:title>
          <c:tx>
            <c:rich>
              <a:bodyPr vert="horz" rot="0" anchor="ctr"/>
              <a:lstStyle/>
              <a:p>
                <a:pPr algn="ctr">
                  <a:defRPr/>
                </a:pPr>
                <a:r>
                  <a:rPr lang="en-US" cap="none" sz="900" b="0" i="0" u="none" baseline="0">
                    <a:solidFill>
                      <a:srgbClr val="000000"/>
                    </a:solidFill>
                  </a:rPr>
                  <a:t>Trial</a:t>
                </a:r>
              </a:p>
            </c:rich>
          </c:tx>
          <c:layout/>
          <c:overlay val="0"/>
          <c:spPr>
            <a:noFill/>
            <a:ln>
              <a:noFill/>
            </a:ln>
          </c:spPr>
        </c:title>
        <c:delete val="0"/>
        <c:numFmt formatCode="General" sourceLinked="1"/>
        <c:majorTickMark val="out"/>
        <c:minorTickMark val="none"/>
        <c:tickLblPos val="none"/>
        <c:spPr>
          <a:ln w="3175">
            <a:solidFill>
              <a:srgbClr val="000000"/>
            </a:solidFill>
          </a:ln>
        </c:spPr>
        <c:crossAx val="49989818"/>
        <c:crosses val="autoZero"/>
        <c:crossBetween val="midCat"/>
        <c:dispUnits/>
      </c:valAx>
      <c:valAx>
        <c:axId val="49989818"/>
        <c:scaling>
          <c:orientation val="minMax"/>
          <c:min val="10"/>
        </c:scaling>
        <c:axPos val="l"/>
        <c:delete val="0"/>
        <c:numFmt formatCode="0" sourceLinked="0"/>
        <c:majorTickMark val="out"/>
        <c:minorTickMark val="none"/>
        <c:tickLblPos val="nextTo"/>
        <c:spPr>
          <a:ln w="3175">
            <a:solidFill>
              <a:srgbClr val="000000"/>
            </a:solidFill>
          </a:ln>
        </c:spPr>
        <c:crossAx val="20467505"/>
        <c:crosses val="autoZero"/>
        <c:crossBetween val="midCat"/>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C0C0C0"/>
    </a:solidFill>
    <a:ln w="3175">
      <a:solidFill>
        <a:srgbClr val="000000"/>
      </a:solidFill>
    </a:ln>
  </c:spPr>
  <c:txPr>
    <a:bodyPr vert="horz" rot="0"/>
    <a:lstStyle/>
    <a:p>
      <a:pPr>
        <a:defRPr lang="en-US" cap="none" sz="900" b="0" i="0" u="none" baseline="0">
          <a:solidFill>
            <a:srgbClr val="000000"/>
          </a:solidFill>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0" i="0" u="none" baseline="0">
                <a:solidFill>
                  <a:srgbClr val="000000"/>
                </a:solidFill>
              </a:rPr>
              <a:t>Means and SDs</a:t>
            </a:r>
          </a:p>
        </c:rich>
      </c:tx>
      <c:layout/>
      <c:spPr>
        <a:noFill/>
        <a:ln>
          <a:noFill/>
        </a:ln>
      </c:spPr>
    </c:title>
    <c:plotArea>
      <c:layout/>
      <c:scatterChart>
        <c:scatterStyle val="lineMarker"/>
        <c:varyColors val="0"/>
        <c:ser>
          <c:idx val="0"/>
          <c:order val="0"/>
          <c:tx>
            <c:strRef>
              <c:f>'Sheet 1'!#REF!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000000"/>
                </a:solidFill>
              </a:ln>
            </c:spPr>
          </c:marker>
          <c:errBars>
            <c:errDir val="y"/>
            <c:errBarType val="both"/>
            <c:errValType val="cust"/>
            <c:plus>
              <c:numRef>
                <c:f>'Sheet 1'!#REF!</c:f>
                <c:numCache>
                  <c:ptCount val="1"/>
                  <c:pt idx="0">
                    <c:v>1</c:v>
                  </c:pt>
                </c:numCache>
              </c:numRef>
            </c:plus>
            <c:minus>
              <c:numRef>
                <c:f>'Sheet 1'!#REF!</c:f>
                <c:numCache>
                  <c:ptCount val="1"/>
                  <c:pt idx="0">
                    <c:v>1</c:v>
                  </c:pt>
                </c:numCache>
              </c:numRef>
            </c:minus>
            <c:noEndCap val="0"/>
            <c:spPr>
              <a:ln w="12700">
                <a:solidFill>
                  <a:srgbClr val="000000"/>
                </a:solidFill>
              </a:ln>
            </c:spPr>
          </c:errBars>
          <c:xVal>
            <c:strRef>
              <c:f>'Sheet 1'!#REF!</c:f>
              <c:strCache>
                <c:ptCount val="1"/>
                <c:pt idx="0">
                  <c:v>1</c:v>
                </c:pt>
              </c:strCache>
            </c:strRef>
          </c:xVal>
          <c:yVal>
            <c:numRef>
              <c:f>'Sheet 1'!#REF!</c:f>
              <c:numCache>
                <c:ptCount val="1"/>
                <c:pt idx="0">
                  <c:v>1</c:v>
                </c:pt>
              </c:numCache>
            </c:numRef>
          </c:yVal>
          <c:smooth val="0"/>
        </c:ser>
        <c:ser>
          <c:idx val="1"/>
          <c:order val="1"/>
          <c:tx>
            <c:strRef>
              <c:f>'Sheet 1'!#REF!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000000"/>
                </a:solidFill>
              </a:ln>
            </c:spPr>
          </c:marker>
          <c:errBars>
            <c:errDir val="y"/>
            <c:errBarType val="both"/>
            <c:errValType val="cust"/>
            <c:plus>
              <c:numRef>
                <c:f>'Sheet 1'!#REF!</c:f>
                <c:numCache>
                  <c:ptCount val="1"/>
                  <c:pt idx="0">
                    <c:v>1</c:v>
                  </c:pt>
                </c:numCache>
              </c:numRef>
            </c:plus>
            <c:minus>
              <c:numRef>
                <c:f>'Sheet 1'!#REF!</c:f>
                <c:numCache>
                  <c:ptCount val="1"/>
                  <c:pt idx="0">
                    <c:v>1</c:v>
                  </c:pt>
                </c:numCache>
              </c:numRef>
            </c:minus>
            <c:noEndCap val="0"/>
            <c:spPr>
              <a:ln w="12700">
                <a:solidFill>
                  <a:srgbClr val="000000"/>
                </a:solidFill>
              </a:ln>
            </c:spPr>
          </c:errBars>
          <c:xVal>
            <c:strRef>
              <c:f>'Sheet 1'!#REF!</c:f>
              <c:strCache>
                <c:ptCount val="1"/>
                <c:pt idx="0">
                  <c:v>1</c:v>
                </c:pt>
              </c:strCache>
            </c:strRef>
          </c:xVal>
          <c:yVal>
            <c:numRef>
              <c:f>'Sheet 1'!#REF!</c:f>
              <c:numCache>
                <c:ptCount val="1"/>
                <c:pt idx="0">
                  <c:v>1</c:v>
                </c:pt>
              </c:numCache>
            </c:numRef>
          </c:yVal>
          <c:smooth val="0"/>
        </c:ser>
        <c:axId val="47255179"/>
        <c:axId val="22643428"/>
      </c:scatterChart>
      <c:valAx>
        <c:axId val="47255179"/>
        <c:scaling>
          <c:orientation val="minMax"/>
          <c:min val="0.5"/>
        </c:scaling>
        <c:axPos val="b"/>
        <c:title>
          <c:tx>
            <c:rich>
              <a:bodyPr vert="horz" rot="0" anchor="ctr"/>
              <a:lstStyle/>
              <a:p>
                <a:pPr algn="ctr">
                  <a:defRPr/>
                </a:pPr>
                <a:r>
                  <a:rPr lang="en-US" cap="none" sz="900" b="0" i="0" u="none" baseline="0">
                    <a:solidFill>
                      <a:srgbClr val="000000"/>
                    </a:solidFill>
                  </a:rPr>
                  <a:t>Trial</a:t>
                </a:r>
              </a:p>
            </c:rich>
          </c:tx>
          <c:layout/>
          <c:overlay val="0"/>
          <c:spPr>
            <a:noFill/>
            <a:ln>
              <a:noFill/>
            </a:ln>
          </c:spPr>
        </c:title>
        <c:delete val="0"/>
        <c:numFmt formatCode="General" sourceLinked="1"/>
        <c:majorTickMark val="out"/>
        <c:minorTickMark val="none"/>
        <c:tickLblPos val="none"/>
        <c:spPr>
          <a:ln w="3175">
            <a:solidFill>
              <a:srgbClr val="000000"/>
            </a:solidFill>
          </a:ln>
        </c:spPr>
        <c:crossAx val="22643428"/>
        <c:crosses val="autoZero"/>
        <c:crossBetween val="midCat"/>
        <c:dispUnits/>
      </c:valAx>
      <c:valAx>
        <c:axId val="22643428"/>
        <c:scaling>
          <c:orientation val="minMax"/>
          <c:min val="10"/>
        </c:scaling>
        <c:axPos val="l"/>
        <c:delete val="0"/>
        <c:numFmt formatCode="0" sourceLinked="0"/>
        <c:majorTickMark val="out"/>
        <c:minorTickMark val="none"/>
        <c:tickLblPos val="nextTo"/>
        <c:spPr>
          <a:ln w="3175">
            <a:solidFill>
              <a:srgbClr val="000000"/>
            </a:solidFill>
          </a:ln>
        </c:spPr>
        <c:crossAx val="47255179"/>
        <c:crosses val="autoZero"/>
        <c:crossBetween val="midCat"/>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C0C0C0"/>
    </a:solidFill>
    <a:ln w="3175">
      <a:solidFill>
        <a:srgbClr val="000000"/>
      </a:solidFill>
    </a:ln>
  </c:spPr>
  <c:txPr>
    <a:bodyPr vert="horz" rot="0"/>
    <a:lstStyle/>
    <a:p>
      <a:pPr>
        <a:defRPr lang="en-US" cap="none" sz="9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Post2-Pre2</a:t>
            </a:r>
          </a:p>
        </c:rich>
      </c:tx>
      <c:layout>
        <c:manualLayout>
          <c:xMode val="factor"/>
          <c:yMode val="factor"/>
          <c:x val="-0.391"/>
          <c:y val="0.04025"/>
        </c:manualLayout>
      </c:layout>
      <c:spPr>
        <a:noFill/>
        <a:ln>
          <a:noFill/>
        </a:ln>
      </c:spPr>
    </c:title>
    <c:plotArea>
      <c:layout>
        <c:manualLayout>
          <c:xMode val="edge"/>
          <c:yMode val="edge"/>
          <c:x val="0"/>
          <c:y val="0.19525"/>
          <c:w val="1"/>
          <c:h val="0.75225"/>
        </c:manualLayout>
      </c:layout>
      <c:scatterChart>
        <c:scatterStyle val="lineMarker"/>
        <c:varyColors val="0"/>
        <c:ser>
          <c:idx val="0"/>
          <c:order val="0"/>
          <c:tx>
            <c:strRef>
              <c:f>'Sheet 1'!$B$42</c:f>
              <c:strCache>
                <c:ptCount val="1"/>
                <c:pt idx="0">
                  <c:v>Control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000000"/>
                </a:solidFill>
              </a:ln>
            </c:spPr>
          </c:marker>
          <c:trendline>
            <c:spPr>
              <a:ln w="25400">
                <a:solidFill>
                  <a:srgbClr val="0000FF"/>
                </a:solidFill>
              </a:ln>
            </c:spPr>
            <c:trendlineType val="linear"/>
            <c:dispEq val="0"/>
            <c:dispRSqr val="0"/>
          </c:trendline>
          <c:xVal>
            <c:numRef>
              <c:f>'Sheet 1'!$D$42:$D$61</c:f>
              <c:numCache/>
            </c:numRef>
          </c:xVal>
          <c:yVal>
            <c:numRef>
              <c:f>'Sheet 1'!$M$42:$M$61</c:f>
              <c:numCache/>
            </c:numRef>
          </c:yVal>
          <c:smooth val="0"/>
        </c:ser>
        <c:ser>
          <c:idx val="1"/>
          <c:order val="1"/>
          <c:tx>
            <c:strRef>
              <c:f>'Sheet 1'!$B$73</c:f>
              <c:strCache>
                <c:ptCount val="1"/>
                <c:pt idx="0">
                  <c:v>Exptal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000000"/>
                </a:solidFill>
              </a:ln>
            </c:spPr>
          </c:marker>
          <c:trendline>
            <c:spPr>
              <a:ln w="25400">
                <a:solidFill>
                  <a:srgbClr val="FF0000"/>
                </a:solidFill>
              </a:ln>
            </c:spPr>
            <c:trendlineType val="linear"/>
            <c:dispEq val="0"/>
            <c:dispRSqr val="0"/>
          </c:trendline>
          <c:xVal>
            <c:numRef>
              <c:f>'Sheet 1'!$D$73:$D$92</c:f>
              <c:numCache/>
            </c:numRef>
          </c:xVal>
          <c:yVal>
            <c:numRef>
              <c:f>'Sheet 1'!$M$73:$M$92</c:f>
              <c:numCache/>
            </c:numRef>
          </c:yVal>
          <c:smooth val="0"/>
        </c:ser>
        <c:ser>
          <c:idx val="2"/>
          <c:order val="2"/>
          <c:tx>
            <c:v>Value of X</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1'!$J$108:$J$109</c:f>
              <c:numCache/>
            </c:numRef>
          </c:xVal>
          <c:yVal>
            <c:numRef>
              <c:f>'Sheet 1'!$M$106:$M$107</c:f>
              <c:numCache/>
            </c:numRef>
          </c:yVal>
          <c:smooth val="0"/>
        </c:ser>
        <c:axId val="34971567"/>
        <c:axId val="46308648"/>
      </c:scatterChart>
      <c:valAx>
        <c:axId val="34971567"/>
        <c:scaling>
          <c:orientation val="minMax"/>
        </c:scaling>
        <c:axPos val="b"/>
        <c:title>
          <c:tx>
            <c:rich>
              <a:bodyPr vert="horz" rot="0" anchor="ctr"/>
              <a:lstStyle/>
              <a:p>
                <a:pPr algn="ctr">
                  <a:defRPr/>
                </a:pPr>
                <a:r>
                  <a:rPr lang="en-US" cap="none" sz="900" b="0" i="0" u="none" baseline="0">
                    <a:solidFill>
                      <a:srgbClr val="000000"/>
                    </a:solidFill>
                  </a:rPr>
                  <a:t>X</a:t>
                </a:r>
              </a:p>
            </c:rich>
          </c:tx>
          <c:layout>
            <c:manualLayout>
              <c:xMode val="factor"/>
              <c:yMode val="factor"/>
              <c:x val="0.023"/>
              <c:y val="0.003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6308648"/>
        <c:crosses val="autoZero"/>
        <c:crossBetween val="midCat"/>
        <c:dispUnits/>
      </c:valAx>
      <c:valAx>
        <c:axId val="46308648"/>
        <c:scaling>
          <c:orientation val="minMax"/>
        </c:scaling>
        <c:axPos val="l"/>
        <c:delete val="0"/>
        <c:numFmt formatCode="General" sourceLinked="1"/>
        <c:majorTickMark val="out"/>
        <c:minorTickMark val="none"/>
        <c:tickLblPos val="nextTo"/>
        <c:spPr>
          <a:ln w="3175">
            <a:solidFill>
              <a:srgbClr val="000000"/>
            </a:solidFill>
          </a:ln>
        </c:spPr>
        <c:crossAx val="34971567"/>
        <c:crosses val="autoZero"/>
        <c:crossBetween val="midCat"/>
        <c:dispUnits/>
      </c:valAx>
      <c:spPr>
        <a:solidFill>
          <a:srgbClr val="FFFFFF"/>
        </a:solidFill>
        <a:ln w="12700">
          <a:solidFill>
            <a:srgbClr val="808080"/>
          </a:solidFill>
        </a:ln>
      </c:spPr>
    </c:plotArea>
    <c:legend>
      <c:legendPos val="r"/>
      <c:layout>
        <c:manualLayout>
          <c:xMode val="edge"/>
          <c:yMode val="edge"/>
          <c:x val="0.516"/>
          <c:y val="0.011"/>
          <c:w val="0.47125"/>
          <c:h val="0.1942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C0C0C0"/>
    </a:solidFill>
    <a:ln w="3175">
      <a:solidFill>
        <a:srgbClr val="000000"/>
      </a:solidFill>
    </a:ln>
  </c:spPr>
  <c:txPr>
    <a:bodyPr vert="horz" rot="0"/>
    <a:lstStyle/>
    <a:p>
      <a:pPr>
        <a:defRPr lang="en-US" cap="none" sz="9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Post2-Post1</a:t>
            </a:r>
          </a:p>
        </c:rich>
      </c:tx>
      <c:layout>
        <c:manualLayout>
          <c:xMode val="factor"/>
          <c:yMode val="factor"/>
          <c:x val="-0.3815"/>
          <c:y val="0.04675"/>
        </c:manualLayout>
      </c:layout>
      <c:spPr>
        <a:noFill/>
        <a:ln>
          <a:noFill/>
        </a:ln>
      </c:spPr>
    </c:title>
    <c:plotArea>
      <c:layout>
        <c:manualLayout>
          <c:xMode val="edge"/>
          <c:yMode val="edge"/>
          <c:x val="0"/>
          <c:y val="0.24325"/>
          <c:w val="1"/>
          <c:h val="0.68325"/>
        </c:manualLayout>
      </c:layout>
      <c:scatterChart>
        <c:scatterStyle val="lineMarker"/>
        <c:varyColors val="0"/>
        <c:ser>
          <c:idx val="0"/>
          <c:order val="0"/>
          <c:tx>
            <c:strRef>
              <c:f>'Sheet 1'!$B$42</c:f>
              <c:strCache>
                <c:ptCount val="1"/>
                <c:pt idx="0">
                  <c:v>Control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000000"/>
                </a:solidFill>
              </a:ln>
            </c:spPr>
          </c:marker>
          <c:trendline>
            <c:spPr>
              <a:ln w="25400">
                <a:solidFill>
                  <a:srgbClr val="0000FF"/>
                </a:solidFill>
              </a:ln>
            </c:spPr>
            <c:trendlineType val="linear"/>
            <c:dispEq val="0"/>
            <c:dispRSqr val="0"/>
          </c:trendline>
          <c:xVal>
            <c:numRef>
              <c:f>'Sheet 1'!$D$42:$D$61</c:f>
              <c:numCache/>
            </c:numRef>
          </c:xVal>
          <c:yVal>
            <c:numRef>
              <c:f>'Sheet 1'!$N$42:$N$61</c:f>
              <c:numCache/>
            </c:numRef>
          </c:yVal>
          <c:smooth val="0"/>
        </c:ser>
        <c:ser>
          <c:idx val="1"/>
          <c:order val="1"/>
          <c:tx>
            <c:strRef>
              <c:f>'Sheet 1'!$B$73</c:f>
              <c:strCache>
                <c:ptCount val="1"/>
                <c:pt idx="0">
                  <c:v>Exptal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000000"/>
                </a:solidFill>
              </a:ln>
            </c:spPr>
          </c:marker>
          <c:trendline>
            <c:spPr>
              <a:ln w="25400">
                <a:solidFill>
                  <a:srgbClr val="FF0000"/>
                </a:solidFill>
              </a:ln>
            </c:spPr>
            <c:trendlineType val="linear"/>
            <c:dispEq val="0"/>
            <c:dispRSqr val="0"/>
          </c:trendline>
          <c:xVal>
            <c:numRef>
              <c:f>'Sheet 1'!$D$73:$D$92</c:f>
              <c:numCache/>
            </c:numRef>
          </c:xVal>
          <c:yVal>
            <c:numRef>
              <c:f>'Sheet 1'!$N$73:$N$92</c:f>
              <c:numCache/>
            </c:numRef>
          </c:yVal>
          <c:smooth val="0"/>
        </c:ser>
        <c:ser>
          <c:idx val="2"/>
          <c:order val="2"/>
          <c:tx>
            <c:v>Value of X</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1'!$J$108:$J$109</c:f>
              <c:numCache/>
            </c:numRef>
          </c:xVal>
          <c:yVal>
            <c:numRef>
              <c:f>'Sheet 1'!$N$106:$N$107</c:f>
              <c:numCache/>
            </c:numRef>
          </c:yVal>
          <c:smooth val="0"/>
        </c:ser>
        <c:axId val="14124649"/>
        <c:axId val="60012978"/>
      </c:scatterChart>
      <c:valAx>
        <c:axId val="14124649"/>
        <c:scaling>
          <c:orientation val="minMax"/>
        </c:scaling>
        <c:axPos val="b"/>
        <c:title>
          <c:tx>
            <c:rich>
              <a:bodyPr vert="horz" rot="0" anchor="ctr"/>
              <a:lstStyle/>
              <a:p>
                <a:pPr algn="ctr">
                  <a:defRPr/>
                </a:pPr>
                <a:r>
                  <a:rPr lang="en-US" cap="none" sz="900" b="0" i="0" u="none" baseline="0">
                    <a:solidFill>
                      <a:srgbClr val="000000"/>
                    </a:solidFill>
                  </a:rPr>
                  <a:t>X</a:t>
                </a:r>
              </a:p>
            </c:rich>
          </c:tx>
          <c:layout>
            <c:manualLayout>
              <c:xMode val="factor"/>
              <c:yMode val="factor"/>
              <c:x val="0.022"/>
              <c:y val="0.005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0012978"/>
        <c:crosses val="autoZero"/>
        <c:crossBetween val="midCat"/>
        <c:dispUnits/>
      </c:valAx>
      <c:valAx>
        <c:axId val="60012978"/>
        <c:scaling>
          <c:orientation val="minMax"/>
        </c:scaling>
        <c:axPos val="l"/>
        <c:delete val="0"/>
        <c:numFmt formatCode="General" sourceLinked="1"/>
        <c:majorTickMark val="out"/>
        <c:minorTickMark val="none"/>
        <c:tickLblPos val="nextTo"/>
        <c:spPr>
          <a:ln w="3175">
            <a:solidFill>
              <a:srgbClr val="000000"/>
            </a:solidFill>
          </a:ln>
        </c:spPr>
        <c:crossAx val="14124649"/>
        <c:crosses val="autoZero"/>
        <c:crossBetween val="midCat"/>
        <c:dispUnits/>
      </c:valAx>
      <c:spPr>
        <a:solidFill>
          <a:srgbClr val="FFFFFF"/>
        </a:solidFill>
        <a:ln w="12700">
          <a:solidFill>
            <a:srgbClr val="808080"/>
          </a:solidFill>
        </a:ln>
      </c:spPr>
    </c:plotArea>
    <c:legend>
      <c:legendPos val="r"/>
      <c:layout>
        <c:manualLayout>
          <c:xMode val="edge"/>
          <c:yMode val="edge"/>
          <c:x val="0.44875"/>
          <c:y val="0.02"/>
          <c:w val="0.51925"/>
          <c:h val="0.1572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C0C0C0"/>
    </a:solidFill>
    <a:ln w="3175">
      <a:solidFill>
        <a:srgbClr val="000000"/>
      </a:solidFill>
    </a:ln>
  </c:spPr>
  <c:txPr>
    <a:bodyPr vert="horz" rot="0"/>
    <a:lstStyle/>
    <a:p>
      <a:pPr>
        <a:defRPr lang="en-US" cap="none" sz="9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Pre2-Pre1</a:t>
            </a:r>
          </a:p>
        </c:rich>
      </c:tx>
      <c:layout>
        <c:manualLayout>
          <c:xMode val="factor"/>
          <c:yMode val="factor"/>
          <c:x val="-0.39425"/>
          <c:y val="0.04475"/>
        </c:manualLayout>
      </c:layout>
      <c:spPr>
        <a:noFill/>
        <a:ln>
          <a:noFill/>
        </a:ln>
      </c:spPr>
    </c:title>
    <c:plotArea>
      <c:layout>
        <c:manualLayout>
          <c:xMode val="edge"/>
          <c:yMode val="edge"/>
          <c:x val="0"/>
          <c:y val="0.205"/>
          <c:w val="1"/>
          <c:h val="0.72175"/>
        </c:manualLayout>
      </c:layout>
      <c:scatterChart>
        <c:scatterStyle val="lineMarker"/>
        <c:varyColors val="0"/>
        <c:ser>
          <c:idx val="0"/>
          <c:order val="0"/>
          <c:tx>
            <c:strRef>
              <c:f>'Sheet 1'!$B$42</c:f>
              <c:strCache>
                <c:ptCount val="1"/>
                <c:pt idx="0">
                  <c:v>Control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000000"/>
                </a:solidFill>
              </a:ln>
            </c:spPr>
          </c:marker>
          <c:trendline>
            <c:name>Control</c:name>
            <c:spPr>
              <a:ln w="25400">
                <a:solidFill>
                  <a:srgbClr val="0000FF"/>
                </a:solidFill>
              </a:ln>
            </c:spPr>
            <c:trendlineType val="linear"/>
            <c:dispEq val="0"/>
            <c:dispRSqr val="0"/>
          </c:trendline>
          <c:xVal>
            <c:numRef>
              <c:f>'Sheet 1'!$T$42:$T$61</c:f>
              <c:numCache/>
            </c:numRef>
          </c:xVal>
          <c:yVal>
            <c:numRef>
              <c:f>'Sheet 1'!$AA$42:$AA$61</c:f>
              <c:numCache/>
            </c:numRef>
          </c:yVal>
          <c:smooth val="0"/>
        </c:ser>
        <c:ser>
          <c:idx val="1"/>
          <c:order val="1"/>
          <c:tx>
            <c:strRef>
              <c:f>'Sheet 1'!$B$73</c:f>
              <c:strCache>
                <c:ptCount val="1"/>
                <c:pt idx="0">
                  <c:v>Exptal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000000"/>
                </a:solidFill>
              </a:ln>
            </c:spPr>
          </c:marker>
          <c:trendline>
            <c:name>Exptal</c:name>
            <c:spPr>
              <a:ln w="25400">
                <a:solidFill>
                  <a:srgbClr val="FF0000"/>
                </a:solidFill>
              </a:ln>
            </c:spPr>
            <c:trendlineType val="linear"/>
            <c:dispEq val="0"/>
            <c:dispRSqr val="0"/>
          </c:trendline>
          <c:xVal>
            <c:numRef>
              <c:f>'Sheet 1'!$T$73:$T$92</c:f>
              <c:numCache/>
            </c:numRef>
          </c:xVal>
          <c:yVal>
            <c:numRef>
              <c:f>'Sheet 1'!$AA$73:$AA$92</c:f>
              <c:numCache/>
            </c:numRef>
          </c:yVal>
          <c:smooth val="0"/>
        </c:ser>
        <c:ser>
          <c:idx val="2"/>
          <c:order val="2"/>
          <c:tx>
            <c:v>Value of X</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1'!$Z$108:$Z$109</c:f>
              <c:numCache/>
            </c:numRef>
          </c:xVal>
          <c:yVal>
            <c:numRef>
              <c:f>'Sheet 1'!$AA$106:$AA$107</c:f>
              <c:numCache/>
            </c:numRef>
          </c:yVal>
          <c:smooth val="0"/>
        </c:ser>
        <c:axId val="3245891"/>
        <c:axId val="29213020"/>
      </c:scatterChart>
      <c:valAx>
        <c:axId val="3245891"/>
        <c:scaling>
          <c:orientation val="minMax"/>
        </c:scaling>
        <c:axPos val="b"/>
        <c:title>
          <c:tx>
            <c:rich>
              <a:bodyPr vert="horz" rot="0" anchor="ctr"/>
              <a:lstStyle/>
              <a:p>
                <a:pPr algn="ctr">
                  <a:defRPr/>
                </a:pPr>
                <a:r>
                  <a:rPr lang="en-US" cap="none" sz="900" b="0" i="0" u="none" baseline="0">
                    <a:solidFill>
                      <a:srgbClr val="000000"/>
                    </a:solidFill>
                  </a:rPr>
                  <a:t>X</a:t>
                </a:r>
              </a:p>
            </c:rich>
          </c:tx>
          <c:layout>
            <c:manualLayout>
              <c:xMode val="factor"/>
              <c:yMode val="factor"/>
              <c:x val="0.019"/>
              <c:y val="0.003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9213020"/>
        <c:crosses val="autoZero"/>
        <c:crossBetween val="midCat"/>
        <c:dispUnits/>
      </c:valAx>
      <c:valAx>
        <c:axId val="29213020"/>
        <c:scaling>
          <c:orientation val="minMax"/>
        </c:scaling>
        <c:axPos val="l"/>
        <c:delete val="0"/>
        <c:numFmt formatCode="General" sourceLinked="1"/>
        <c:majorTickMark val="out"/>
        <c:minorTickMark val="none"/>
        <c:tickLblPos val="nextTo"/>
        <c:spPr>
          <a:ln w="3175">
            <a:solidFill>
              <a:srgbClr val="000000"/>
            </a:solidFill>
          </a:ln>
        </c:spPr>
        <c:crossAx val="3245891"/>
        <c:crosses val="autoZero"/>
        <c:crossBetween val="midCat"/>
        <c:dispUnits/>
      </c:valAx>
      <c:spPr>
        <a:solidFill>
          <a:srgbClr val="FFFFFF"/>
        </a:solidFill>
        <a:ln w="12700">
          <a:solidFill>
            <a:srgbClr val="808080"/>
          </a:solidFill>
        </a:ln>
      </c:spPr>
    </c:plotArea>
    <c:legend>
      <c:legendPos val="r"/>
      <c:layout>
        <c:manualLayout>
          <c:xMode val="edge"/>
          <c:yMode val="edge"/>
          <c:x val="0.45825"/>
          <c:y val="0.01025"/>
          <c:w val="0.5065"/>
          <c:h val="0.2"/>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C0C0C0"/>
    </a:solidFill>
    <a:ln w="3175">
      <a:solidFill>
        <a:srgbClr val="000000"/>
      </a:solidFill>
    </a:ln>
  </c:spPr>
  <c:txPr>
    <a:bodyPr vert="horz" rot="0"/>
    <a:lstStyle/>
    <a:p>
      <a:pPr>
        <a:defRPr lang="en-US" cap="none" sz="9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Post1-Pre2</a:t>
            </a:r>
          </a:p>
        </c:rich>
      </c:tx>
      <c:layout>
        <c:manualLayout>
          <c:xMode val="factor"/>
          <c:yMode val="factor"/>
          <c:x val="-0.391"/>
          <c:y val="0.044"/>
        </c:manualLayout>
      </c:layout>
      <c:spPr>
        <a:noFill/>
        <a:ln>
          <a:noFill/>
        </a:ln>
      </c:spPr>
    </c:title>
    <c:plotArea>
      <c:layout>
        <c:manualLayout>
          <c:xMode val="edge"/>
          <c:yMode val="edge"/>
          <c:x val="0"/>
          <c:y val="0.22025"/>
          <c:w val="1"/>
          <c:h val="0.70575"/>
        </c:manualLayout>
      </c:layout>
      <c:scatterChart>
        <c:scatterStyle val="lineMarker"/>
        <c:varyColors val="0"/>
        <c:ser>
          <c:idx val="0"/>
          <c:order val="0"/>
          <c:tx>
            <c:strRef>
              <c:f>'Sheet 1'!$B$42</c:f>
              <c:strCache>
                <c:ptCount val="1"/>
                <c:pt idx="0">
                  <c:v>Control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000000"/>
                </a:solidFill>
              </a:ln>
            </c:spPr>
          </c:marker>
          <c:trendline>
            <c:name>Control</c:name>
            <c:spPr>
              <a:ln w="25400">
                <a:solidFill>
                  <a:srgbClr val="0000FF"/>
                </a:solidFill>
              </a:ln>
            </c:spPr>
            <c:trendlineType val="linear"/>
            <c:dispEq val="0"/>
            <c:dispRSqr val="0"/>
          </c:trendline>
          <c:xVal>
            <c:numRef>
              <c:f>'Sheet 1'!$T$42:$T$61</c:f>
              <c:numCache/>
            </c:numRef>
          </c:xVal>
          <c:yVal>
            <c:numRef>
              <c:f>'Sheet 1'!$AB$42:$AB$61</c:f>
              <c:numCache/>
            </c:numRef>
          </c:yVal>
          <c:smooth val="0"/>
        </c:ser>
        <c:ser>
          <c:idx val="1"/>
          <c:order val="1"/>
          <c:tx>
            <c:strRef>
              <c:f>'Sheet 1'!$B$73</c:f>
              <c:strCache>
                <c:ptCount val="1"/>
                <c:pt idx="0">
                  <c:v>Exptal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000000"/>
                </a:solidFill>
              </a:ln>
            </c:spPr>
          </c:marker>
          <c:trendline>
            <c:name>Exptal</c:name>
            <c:spPr>
              <a:ln w="25400">
                <a:solidFill>
                  <a:srgbClr val="FF0000"/>
                </a:solidFill>
              </a:ln>
            </c:spPr>
            <c:trendlineType val="linear"/>
            <c:dispEq val="0"/>
            <c:dispRSqr val="0"/>
          </c:trendline>
          <c:xVal>
            <c:numRef>
              <c:f>'Sheet 1'!$T$73:$T$92</c:f>
              <c:numCache/>
            </c:numRef>
          </c:xVal>
          <c:yVal>
            <c:numRef>
              <c:f>'Sheet 1'!$AB$73:$AB$92</c:f>
              <c:numCache/>
            </c:numRef>
          </c:yVal>
          <c:smooth val="0"/>
        </c:ser>
        <c:ser>
          <c:idx val="2"/>
          <c:order val="2"/>
          <c:tx>
            <c:v>Value of X</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1'!$Z$108:$Z$109</c:f>
              <c:numCache/>
            </c:numRef>
          </c:xVal>
          <c:yVal>
            <c:numRef>
              <c:f>'Sheet 1'!$AB$106:$AB$107</c:f>
              <c:numCache/>
            </c:numRef>
          </c:yVal>
          <c:smooth val="0"/>
        </c:ser>
        <c:axId val="61590589"/>
        <c:axId val="17444390"/>
      </c:scatterChart>
      <c:valAx>
        <c:axId val="61590589"/>
        <c:scaling>
          <c:orientation val="minMax"/>
        </c:scaling>
        <c:axPos val="b"/>
        <c:title>
          <c:tx>
            <c:rich>
              <a:bodyPr vert="horz" rot="0" anchor="ctr"/>
              <a:lstStyle/>
              <a:p>
                <a:pPr algn="ctr">
                  <a:defRPr/>
                </a:pPr>
                <a:r>
                  <a:rPr lang="en-US" cap="none" sz="900" b="0" i="0" u="none" baseline="0">
                    <a:solidFill>
                      <a:srgbClr val="000000"/>
                    </a:solidFill>
                  </a:rPr>
                  <a:t>X</a:t>
                </a:r>
              </a:p>
            </c:rich>
          </c:tx>
          <c:layout>
            <c:manualLayout>
              <c:xMode val="factor"/>
              <c:yMode val="factor"/>
              <c:x val="0.0215"/>
              <c:y val="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7444390"/>
        <c:crosses val="autoZero"/>
        <c:crossBetween val="midCat"/>
        <c:dispUnits/>
      </c:valAx>
      <c:valAx>
        <c:axId val="17444390"/>
        <c:scaling>
          <c:orientation val="minMax"/>
        </c:scaling>
        <c:axPos val="l"/>
        <c:delete val="0"/>
        <c:numFmt formatCode="General" sourceLinked="1"/>
        <c:majorTickMark val="out"/>
        <c:minorTickMark val="none"/>
        <c:tickLblPos val="nextTo"/>
        <c:spPr>
          <a:ln w="3175">
            <a:solidFill>
              <a:srgbClr val="000000"/>
            </a:solidFill>
          </a:ln>
        </c:spPr>
        <c:crossAx val="61590589"/>
        <c:crosses val="autoZero"/>
        <c:crossBetween val="midCat"/>
        <c:dispUnits/>
      </c:valAx>
      <c:spPr>
        <a:solidFill>
          <a:srgbClr val="FFFFFF"/>
        </a:solidFill>
        <a:ln w="12700">
          <a:solidFill>
            <a:srgbClr val="808080"/>
          </a:solidFill>
        </a:ln>
      </c:spPr>
    </c:plotArea>
    <c:legend>
      <c:legendPos val="r"/>
      <c:layout>
        <c:manualLayout>
          <c:xMode val="edge"/>
          <c:yMode val="edge"/>
          <c:x val="0.4775"/>
          <c:y val="0.0035"/>
          <c:w val="0.48725"/>
          <c:h val="0.196"/>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C0C0C0"/>
    </a:solidFill>
    <a:ln w="3175">
      <a:solidFill>
        <a:srgbClr val="000000"/>
      </a:solidFill>
    </a:ln>
  </c:spPr>
  <c:txPr>
    <a:bodyPr vert="horz" rot="0"/>
    <a:lstStyle/>
    <a:p>
      <a:pPr>
        <a:defRPr lang="en-US" cap="none" sz="9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Post2-Pre2</a:t>
            </a:r>
          </a:p>
        </c:rich>
      </c:tx>
      <c:layout>
        <c:manualLayout>
          <c:xMode val="factor"/>
          <c:yMode val="factor"/>
          <c:x val="-0.391"/>
          <c:y val="0.042"/>
        </c:manualLayout>
      </c:layout>
      <c:spPr>
        <a:noFill/>
        <a:ln>
          <a:noFill/>
        </a:ln>
      </c:spPr>
    </c:title>
    <c:plotArea>
      <c:layout>
        <c:manualLayout>
          <c:xMode val="edge"/>
          <c:yMode val="edge"/>
          <c:x val="0"/>
          <c:y val="0.197"/>
          <c:w val="1"/>
          <c:h val="0.736"/>
        </c:manualLayout>
      </c:layout>
      <c:scatterChart>
        <c:scatterStyle val="lineMarker"/>
        <c:varyColors val="0"/>
        <c:ser>
          <c:idx val="0"/>
          <c:order val="0"/>
          <c:tx>
            <c:strRef>
              <c:f>'Sheet 1'!$B$42</c:f>
              <c:strCache>
                <c:ptCount val="1"/>
                <c:pt idx="0">
                  <c:v>Control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000000"/>
                </a:solidFill>
              </a:ln>
            </c:spPr>
          </c:marker>
          <c:trendline>
            <c:name>Control</c:name>
            <c:spPr>
              <a:ln w="25400">
                <a:solidFill>
                  <a:srgbClr val="0000FF"/>
                </a:solidFill>
              </a:ln>
            </c:spPr>
            <c:trendlineType val="linear"/>
            <c:dispEq val="0"/>
            <c:dispRSqr val="0"/>
          </c:trendline>
          <c:xVal>
            <c:numRef>
              <c:f>'Sheet 1'!$T$42:$T$61</c:f>
              <c:numCache/>
            </c:numRef>
          </c:xVal>
          <c:yVal>
            <c:numRef>
              <c:f>'Sheet 1'!$AC$42:$AC$61</c:f>
              <c:numCache/>
            </c:numRef>
          </c:yVal>
          <c:smooth val="0"/>
        </c:ser>
        <c:ser>
          <c:idx val="1"/>
          <c:order val="1"/>
          <c:tx>
            <c:strRef>
              <c:f>'Sheet 1'!$B$73</c:f>
              <c:strCache>
                <c:ptCount val="1"/>
                <c:pt idx="0">
                  <c:v>Exptal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000000"/>
                </a:solidFill>
              </a:ln>
            </c:spPr>
          </c:marker>
          <c:trendline>
            <c:name>Exptal</c:name>
            <c:spPr>
              <a:ln w="25400">
                <a:solidFill>
                  <a:srgbClr val="FF0000"/>
                </a:solidFill>
              </a:ln>
            </c:spPr>
            <c:trendlineType val="linear"/>
            <c:dispEq val="0"/>
            <c:dispRSqr val="0"/>
          </c:trendline>
          <c:xVal>
            <c:numRef>
              <c:f>'Sheet 1'!$T$73:$T$92</c:f>
              <c:numCache/>
            </c:numRef>
          </c:xVal>
          <c:yVal>
            <c:numRef>
              <c:f>'Sheet 1'!$AC$73:$AC$92</c:f>
              <c:numCache/>
            </c:numRef>
          </c:yVal>
          <c:smooth val="0"/>
        </c:ser>
        <c:ser>
          <c:idx val="2"/>
          <c:order val="2"/>
          <c:tx>
            <c:v>Value of X</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1'!$Z$108:$Z$109</c:f>
              <c:numCache/>
            </c:numRef>
          </c:xVal>
          <c:yVal>
            <c:numRef>
              <c:f>'Sheet 1'!$AC$106:$AC$107</c:f>
              <c:numCache/>
            </c:numRef>
          </c:yVal>
          <c:smooth val="0"/>
        </c:ser>
        <c:axId val="22781783"/>
        <c:axId val="3709456"/>
      </c:scatterChart>
      <c:valAx>
        <c:axId val="22781783"/>
        <c:scaling>
          <c:orientation val="minMax"/>
        </c:scaling>
        <c:axPos val="b"/>
        <c:title>
          <c:tx>
            <c:rich>
              <a:bodyPr vert="horz" rot="0" anchor="ctr"/>
              <a:lstStyle/>
              <a:p>
                <a:pPr algn="ctr">
                  <a:defRPr/>
                </a:pPr>
                <a:r>
                  <a:rPr lang="en-US" cap="none" sz="900" b="0" i="0" u="none" baseline="0">
                    <a:solidFill>
                      <a:srgbClr val="000000"/>
                    </a:solidFill>
                  </a:rPr>
                  <a:t>X</a:t>
                </a:r>
              </a:p>
            </c:rich>
          </c:tx>
          <c:layout>
            <c:manualLayout>
              <c:xMode val="factor"/>
              <c:yMode val="factor"/>
              <c:x val="0.01875"/>
              <c:y val="0.004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709456"/>
        <c:crosses val="autoZero"/>
        <c:crossBetween val="midCat"/>
        <c:dispUnits/>
      </c:valAx>
      <c:valAx>
        <c:axId val="3709456"/>
        <c:scaling>
          <c:orientation val="minMax"/>
        </c:scaling>
        <c:axPos val="l"/>
        <c:delete val="0"/>
        <c:numFmt formatCode="General" sourceLinked="1"/>
        <c:majorTickMark val="out"/>
        <c:minorTickMark val="none"/>
        <c:tickLblPos val="nextTo"/>
        <c:spPr>
          <a:ln w="3175">
            <a:solidFill>
              <a:srgbClr val="000000"/>
            </a:solidFill>
          </a:ln>
        </c:spPr>
        <c:crossAx val="22781783"/>
        <c:crosses val="autoZero"/>
        <c:crossBetween val="midCat"/>
        <c:dispUnits/>
      </c:valAx>
      <c:spPr>
        <a:solidFill>
          <a:srgbClr val="FFFFFF"/>
        </a:solidFill>
        <a:ln w="12700">
          <a:solidFill>
            <a:srgbClr val="808080"/>
          </a:solidFill>
        </a:ln>
      </c:spPr>
    </c:plotArea>
    <c:legend>
      <c:legendPos val="r"/>
      <c:layout>
        <c:manualLayout>
          <c:xMode val="edge"/>
          <c:yMode val="edge"/>
          <c:x val="0.468"/>
          <c:y val="0.01925"/>
          <c:w val="0.50325"/>
          <c:h val="0.177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C0C0C0"/>
    </a:solidFill>
    <a:ln w="3175">
      <a:solidFill>
        <a:srgbClr val="000000"/>
      </a:solidFill>
    </a:ln>
  </c:spPr>
  <c:txPr>
    <a:bodyPr vert="horz" rot="0"/>
    <a:lstStyle/>
    <a:p>
      <a:pPr>
        <a:defRPr lang="en-US" cap="none" sz="9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Post2-Post1</a:t>
            </a:r>
          </a:p>
        </c:rich>
      </c:tx>
      <c:layout>
        <c:manualLayout>
          <c:xMode val="factor"/>
          <c:yMode val="factor"/>
          <c:x val="-0.3815"/>
          <c:y val="0.047"/>
        </c:manualLayout>
      </c:layout>
      <c:spPr>
        <a:noFill/>
        <a:ln>
          <a:noFill/>
        </a:ln>
      </c:spPr>
    </c:title>
    <c:plotArea>
      <c:layout>
        <c:manualLayout>
          <c:xMode val="edge"/>
          <c:yMode val="edge"/>
          <c:x val="0"/>
          <c:y val="0.23125"/>
          <c:w val="1"/>
          <c:h val="0.68925"/>
        </c:manualLayout>
      </c:layout>
      <c:scatterChart>
        <c:scatterStyle val="lineMarker"/>
        <c:varyColors val="0"/>
        <c:ser>
          <c:idx val="0"/>
          <c:order val="0"/>
          <c:tx>
            <c:strRef>
              <c:f>'Sheet 1'!$B$42</c:f>
              <c:strCache>
                <c:ptCount val="1"/>
                <c:pt idx="0">
                  <c:v>Control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000000"/>
                </a:solidFill>
              </a:ln>
            </c:spPr>
          </c:marker>
          <c:trendline>
            <c:name>Control</c:name>
            <c:spPr>
              <a:ln w="25400">
                <a:solidFill>
                  <a:srgbClr val="0000FF"/>
                </a:solidFill>
              </a:ln>
            </c:spPr>
            <c:trendlineType val="linear"/>
            <c:dispEq val="0"/>
            <c:dispRSqr val="0"/>
          </c:trendline>
          <c:xVal>
            <c:numRef>
              <c:f>'Sheet 1'!$T$42:$T$61</c:f>
              <c:numCache/>
            </c:numRef>
          </c:xVal>
          <c:yVal>
            <c:numRef>
              <c:f>'Sheet 1'!$AD$42:$AD$61</c:f>
              <c:numCache/>
            </c:numRef>
          </c:yVal>
          <c:smooth val="0"/>
        </c:ser>
        <c:ser>
          <c:idx val="1"/>
          <c:order val="1"/>
          <c:tx>
            <c:strRef>
              <c:f>'Sheet 1'!$B$73</c:f>
              <c:strCache>
                <c:ptCount val="1"/>
                <c:pt idx="0">
                  <c:v>Exptal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000000"/>
                </a:solidFill>
              </a:ln>
            </c:spPr>
          </c:marker>
          <c:trendline>
            <c:name>Exptal</c:name>
            <c:spPr>
              <a:ln w="25400">
                <a:solidFill>
                  <a:srgbClr val="FF0000"/>
                </a:solidFill>
              </a:ln>
            </c:spPr>
            <c:trendlineType val="linear"/>
            <c:dispEq val="0"/>
            <c:dispRSqr val="0"/>
          </c:trendline>
          <c:xVal>
            <c:numRef>
              <c:f>'Sheet 1'!$T$73:$T$92</c:f>
              <c:numCache/>
            </c:numRef>
          </c:xVal>
          <c:yVal>
            <c:numRef>
              <c:f>'Sheet 1'!$AD$73:$AD$92</c:f>
              <c:numCache/>
            </c:numRef>
          </c:yVal>
          <c:smooth val="0"/>
        </c:ser>
        <c:ser>
          <c:idx val="2"/>
          <c:order val="2"/>
          <c:tx>
            <c:v>Value of X</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1'!$Z$108:$Z$109</c:f>
              <c:numCache/>
            </c:numRef>
          </c:xVal>
          <c:yVal>
            <c:numRef>
              <c:f>'Sheet 1'!$AD$106:$AD$107</c:f>
              <c:numCache/>
            </c:numRef>
          </c:yVal>
          <c:smooth val="0"/>
        </c:ser>
        <c:axId val="33385105"/>
        <c:axId val="32030490"/>
      </c:scatterChart>
      <c:valAx>
        <c:axId val="33385105"/>
        <c:scaling>
          <c:orientation val="minMax"/>
        </c:scaling>
        <c:axPos val="b"/>
        <c:title>
          <c:tx>
            <c:rich>
              <a:bodyPr vert="horz" rot="0" anchor="ctr"/>
              <a:lstStyle/>
              <a:p>
                <a:pPr algn="ctr">
                  <a:defRPr/>
                </a:pPr>
                <a:r>
                  <a:rPr lang="en-US" cap="none" sz="900" b="0" i="0" u="none" baseline="0">
                    <a:solidFill>
                      <a:srgbClr val="000000"/>
                    </a:solidFill>
                  </a:rPr>
                  <a:t>X</a:t>
                </a:r>
              </a:p>
            </c:rich>
          </c:tx>
          <c:layout>
            <c:manualLayout>
              <c:xMode val="factor"/>
              <c:yMode val="factor"/>
              <c:x val="0.0195"/>
              <c:y val="0.005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2030490"/>
        <c:crosses val="autoZero"/>
        <c:crossBetween val="midCat"/>
        <c:dispUnits/>
      </c:valAx>
      <c:valAx>
        <c:axId val="32030490"/>
        <c:scaling>
          <c:orientation val="minMax"/>
        </c:scaling>
        <c:axPos val="l"/>
        <c:delete val="0"/>
        <c:numFmt formatCode="General" sourceLinked="1"/>
        <c:majorTickMark val="out"/>
        <c:minorTickMark val="none"/>
        <c:tickLblPos val="nextTo"/>
        <c:spPr>
          <a:ln w="3175">
            <a:solidFill>
              <a:srgbClr val="000000"/>
            </a:solidFill>
          </a:ln>
        </c:spPr>
        <c:crossAx val="33385105"/>
        <c:crosses val="autoZero"/>
        <c:crossBetween val="midCat"/>
        <c:dispUnits/>
      </c:valAx>
      <c:spPr>
        <a:solidFill>
          <a:srgbClr val="FFFFFF"/>
        </a:solidFill>
        <a:ln w="12700">
          <a:solidFill>
            <a:srgbClr val="808080"/>
          </a:solidFill>
        </a:ln>
      </c:spPr>
    </c:plotArea>
    <c:legend>
      <c:legendPos val="r"/>
      <c:layout>
        <c:manualLayout>
          <c:xMode val="edge"/>
          <c:yMode val="edge"/>
          <c:x val="0.298"/>
          <c:y val="0.00325"/>
          <c:w val="0.673"/>
          <c:h val="0.211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C0C0C0"/>
    </a:solidFill>
    <a:ln w="3175">
      <a:solidFill>
        <a:srgbClr val="000000"/>
      </a:solidFill>
    </a:ln>
  </c:spPr>
  <c:txPr>
    <a:bodyPr vert="horz" rot="0"/>
    <a:lstStyle/>
    <a:p>
      <a:pPr>
        <a:defRPr lang="en-US" cap="none" sz="9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Pre2-Pre1</a:t>
            </a:r>
          </a:p>
        </c:rich>
      </c:tx>
      <c:layout>
        <c:manualLayout>
          <c:xMode val="factor"/>
          <c:yMode val="factor"/>
          <c:x val="-0.39425"/>
          <c:y val="0.04475"/>
        </c:manualLayout>
      </c:layout>
      <c:spPr>
        <a:noFill/>
        <a:ln>
          <a:noFill/>
        </a:ln>
      </c:spPr>
    </c:title>
    <c:plotArea>
      <c:layout>
        <c:manualLayout>
          <c:xMode val="edge"/>
          <c:yMode val="edge"/>
          <c:x val="0"/>
          <c:y val="0.19425"/>
          <c:w val="1"/>
          <c:h val="0.7325"/>
        </c:manualLayout>
      </c:layout>
      <c:scatterChart>
        <c:scatterStyle val="lineMarker"/>
        <c:varyColors val="0"/>
        <c:ser>
          <c:idx val="0"/>
          <c:order val="0"/>
          <c:tx>
            <c:strRef>
              <c:f>'Sheet 1'!$B$42</c:f>
              <c:strCache>
                <c:ptCount val="1"/>
                <c:pt idx="0">
                  <c:v>Control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000000"/>
                </a:solidFill>
              </a:ln>
            </c:spPr>
          </c:marker>
          <c:trendline>
            <c:name>Control</c:name>
            <c:spPr>
              <a:ln w="25400">
                <a:solidFill>
                  <a:srgbClr val="0000FF"/>
                </a:solidFill>
              </a:ln>
            </c:spPr>
            <c:trendlineType val="linear"/>
            <c:dispEq val="0"/>
            <c:dispRSqr val="0"/>
          </c:trendline>
          <c:xVal>
            <c:numRef>
              <c:f>'Sheet 1'!$AJ$42:$AJ$61</c:f>
              <c:numCache/>
            </c:numRef>
          </c:xVal>
          <c:yVal>
            <c:numRef>
              <c:f>'Sheet 1'!$AQ$42:$AQ$61</c:f>
              <c:numCache/>
            </c:numRef>
          </c:yVal>
          <c:smooth val="0"/>
        </c:ser>
        <c:ser>
          <c:idx val="1"/>
          <c:order val="1"/>
          <c:tx>
            <c:strRef>
              <c:f>'Sheet 1'!$B$73</c:f>
              <c:strCache>
                <c:ptCount val="1"/>
                <c:pt idx="0">
                  <c:v>Exptal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000000"/>
                </a:solidFill>
              </a:ln>
            </c:spPr>
          </c:marker>
          <c:trendline>
            <c:name>Exptal</c:name>
            <c:spPr>
              <a:ln w="25400">
                <a:solidFill>
                  <a:srgbClr val="FF0000"/>
                </a:solidFill>
              </a:ln>
            </c:spPr>
            <c:trendlineType val="linear"/>
            <c:dispEq val="0"/>
            <c:dispRSqr val="0"/>
          </c:trendline>
          <c:xVal>
            <c:numRef>
              <c:f>'Sheet 1'!$AJ$73:$AJ$92</c:f>
              <c:numCache/>
            </c:numRef>
          </c:xVal>
          <c:yVal>
            <c:numRef>
              <c:f>'Sheet 1'!$AQ$73:$AQ$92</c:f>
              <c:numCache/>
            </c:numRef>
          </c:yVal>
          <c:smooth val="0"/>
        </c:ser>
        <c:ser>
          <c:idx val="2"/>
          <c:order val="2"/>
          <c:tx>
            <c:v>Value of X</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1'!$AP$108:$AP$109</c:f>
              <c:numCache/>
            </c:numRef>
          </c:xVal>
          <c:yVal>
            <c:numRef>
              <c:f>'Sheet 1'!$AQ$106:$AQ$107</c:f>
              <c:numCache/>
            </c:numRef>
          </c:yVal>
          <c:smooth val="0"/>
        </c:ser>
        <c:axId val="19838955"/>
        <c:axId val="44332868"/>
      </c:scatterChart>
      <c:valAx>
        <c:axId val="19838955"/>
        <c:scaling>
          <c:orientation val="minMax"/>
        </c:scaling>
        <c:axPos val="b"/>
        <c:title>
          <c:tx>
            <c:rich>
              <a:bodyPr vert="horz" rot="0" anchor="ctr"/>
              <a:lstStyle/>
              <a:p>
                <a:pPr algn="ctr">
                  <a:defRPr/>
                </a:pPr>
                <a:r>
                  <a:rPr lang="en-US" cap="none" sz="900" b="0" i="0" u="none" baseline="0">
                    <a:solidFill>
                      <a:srgbClr val="000000"/>
                    </a:solidFill>
                  </a:rPr>
                  <a:t>X</a:t>
                </a:r>
              </a:p>
            </c:rich>
          </c:tx>
          <c:layout>
            <c:manualLayout>
              <c:xMode val="factor"/>
              <c:yMode val="factor"/>
              <c:x val="0.01875"/>
              <c:y val="0.005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4332868"/>
        <c:crosses val="autoZero"/>
        <c:crossBetween val="midCat"/>
        <c:dispUnits/>
      </c:valAx>
      <c:valAx>
        <c:axId val="44332868"/>
        <c:scaling>
          <c:orientation val="minMax"/>
        </c:scaling>
        <c:axPos val="l"/>
        <c:delete val="0"/>
        <c:numFmt formatCode="General" sourceLinked="1"/>
        <c:majorTickMark val="out"/>
        <c:minorTickMark val="none"/>
        <c:tickLblPos val="nextTo"/>
        <c:spPr>
          <a:ln w="3175">
            <a:solidFill>
              <a:srgbClr val="000000"/>
            </a:solidFill>
          </a:ln>
        </c:spPr>
        <c:crossAx val="19838955"/>
        <c:crosses val="autoZero"/>
        <c:crossBetween val="midCat"/>
        <c:dispUnits/>
      </c:valAx>
      <c:spPr>
        <a:solidFill>
          <a:srgbClr val="FFFFFF"/>
        </a:solidFill>
        <a:ln w="12700">
          <a:solidFill>
            <a:srgbClr val="808080"/>
          </a:solidFill>
        </a:ln>
      </c:spPr>
    </c:plotArea>
    <c:legend>
      <c:legendPos val="r"/>
      <c:layout>
        <c:manualLayout>
          <c:xMode val="edge"/>
          <c:yMode val="edge"/>
          <c:x val="0.4775"/>
          <c:y val="0.0035"/>
          <c:w val="0.4905"/>
          <c:h val="0.2"/>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C0C0C0"/>
    </a:solidFill>
    <a:ln w="3175">
      <a:solidFill>
        <a:srgbClr val="000000"/>
      </a:solidFill>
    </a:ln>
  </c:spPr>
  <c:txPr>
    <a:bodyPr vert="horz" rot="0"/>
    <a:lstStyle/>
    <a:p>
      <a:pPr>
        <a:defRPr lang="en-US" cap="none" sz="900" b="0" i="0" u="none" baseline="0">
          <a:solidFill>
            <a:srgbClr val="000000"/>
          </a:solidFill>
        </a:defRPr>
      </a:pPr>
    </a:p>
  </c:txPr>
  <c:userShapes r:id="rId1"/>
  <c:date1904 val="1"/>
</chartSpace>
</file>

<file path=xl/drawings/_rels/drawing2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cdr:x>
      <cdr:y>-0.00125</cdr:y>
    </cdr:from>
    <cdr:to>
      <cdr:x>0.49425</cdr:x>
      <cdr:y>0.11925</cdr:y>
    </cdr:to>
    <cdr:sp>
      <cdr:nvSpPr>
        <cdr:cNvPr id="1" name="Text Box 2"/>
        <cdr:cNvSpPr txBox="1">
          <a:spLocks noChangeArrowheads="1"/>
        </cdr:cNvSpPr>
      </cdr:nvSpPr>
      <cdr:spPr>
        <a:xfrm>
          <a:off x="295275" y="0"/>
          <a:ext cx="895350" cy="266700"/>
        </a:xfrm>
        <a:prstGeom prst="rect">
          <a:avLst/>
        </a:prstGeom>
        <a:noFill/>
        <a:ln w="9525" cmpd="sng">
          <a:noFill/>
        </a:ln>
      </cdr:spPr>
      <cdr:txBody>
        <a:bodyPr vertOverflow="clip" wrap="square" lIns="27432" tIns="18288" rIns="0" bIns="0"/>
        <a:p>
          <a:pPr algn="l">
            <a:defRPr/>
          </a:pPr>
          <a:r>
            <a:rPr lang="en-US" cap="none" sz="765" b="0" i="0" u="none" baseline="0">
              <a:solidFill>
                <a:srgbClr val="000000"/>
              </a:solidFill>
            </a:rPr>
            <a:t>Raw Data</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cdr:y>
    </cdr:from>
    <cdr:to>
      <cdr:x>0.639</cdr:x>
      <cdr:y>0.12625</cdr:y>
    </cdr:to>
    <cdr:sp>
      <cdr:nvSpPr>
        <cdr:cNvPr id="1" name="Text Box 2"/>
        <cdr:cNvSpPr txBox="1">
          <a:spLocks noChangeArrowheads="1"/>
        </cdr:cNvSpPr>
      </cdr:nvSpPr>
      <cdr:spPr>
        <a:xfrm>
          <a:off x="0" y="0"/>
          <a:ext cx="1543050" cy="285750"/>
        </a:xfrm>
        <a:prstGeom prst="rect">
          <a:avLst/>
        </a:prstGeom>
        <a:noFill/>
        <a:ln w="9525" cmpd="sng">
          <a:noFill/>
        </a:ln>
      </cdr:spPr>
      <cdr:txBody>
        <a:bodyPr vertOverflow="clip" wrap="square" lIns="27432" tIns="18288" rIns="0" bIns="0"/>
        <a:p>
          <a:pPr algn="l">
            <a:defRPr/>
          </a:pPr>
          <a:r>
            <a:rPr lang="en-US" cap="none" sz="765" b="0" i="0" u="none" baseline="0">
              <a:solidFill>
                <a:srgbClr val="000000"/>
              </a:solidFill>
            </a:rPr>
            <a:t>Percentile-transformed</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-0.003</cdr:y>
    </cdr:from>
    <cdr:to>
      <cdr:x>0.638</cdr:x>
      <cdr:y>0.1115</cdr:y>
    </cdr:to>
    <cdr:sp>
      <cdr:nvSpPr>
        <cdr:cNvPr id="1" name="Text Box 2"/>
        <cdr:cNvSpPr txBox="1">
          <a:spLocks noChangeArrowheads="1"/>
        </cdr:cNvSpPr>
      </cdr:nvSpPr>
      <cdr:spPr>
        <a:xfrm>
          <a:off x="0" y="0"/>
          <a:ext cx="1543050" cy="266700"/>
        </a:xfrm>
        <a:prstGeom prst="rect">
          <a:avLst/>
        </a:prstGeom>
        <a:noFill/>
        <a:ln w="9525" cmpd="sng">
          <a:noFill/>
        </a:ln>
      </cdr:spPr>
      <cdr:txBody>
        <a:bodyPr vertOverflow="clip" wrap="square" lIns="27432" tIns="18288" rIns="0" bIns="0"/>
        <a:p>
          <a:pPr algn="l">
            <a:defRPr/>
          </a:pPr>
          <a:r>
            <a:rPr lang="en-US" cap="none" sz="765" b="0" i="0" u="none" baseline="0">
              <a:solidFill>
                <a:srgbClr val="000000"/>
              </a:solidFill>
            </a:rPr>
            <a:t>Percentile-transformed</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0.00025</cdr:y>
    </cdr:from>
    <cdr:to>
      <cdr:x>0.64225</cdr:x>
      <cdr:y>0.1245</cdr:y>
    </cdr:to>
    <cdr:sp>
      <cdr:nvSpPr>
        <cdr:cNvPr id="1" name="Text Box 2"/>
        <cdr:cNvSpPr txBox="1">
          <a:spLocks noChangeArrowheads="1"/>
        </cdr:cNvSpPr>
      </cdr:nvSpPr>
      <cdr:spPr>
        <a:xfrm>
          <a:off x="0" y="0"/>
          <a:ext cx="1552575" cy="295275"/>
        </a:xfrm>
        <a:prstGeom prst="rect">
          <a:avLst/>
        </a:prstGeom>
        <a:noFill/>
        <a:ln w="9525" cmpd="sng">
          <a:noFill/>
        </a:ln>
      </cdr:spPr>
      <cdr:txBody>
        <a:bodyPr vertOverflow="clip" wrap="square" lIns="27432" tIns="18288" rIns="0" bIns="0"/>
        <a:p>
          <a:pPr algn="l">
            <a:defRPr/>
          </a:pPr>
          <a:r>
            <a:rPr lang="en-US" cap="none" sz="765" b="0" i="0" u="none" baseline="0">
              <a:solidFill>
                <a:srgbClr val="000000"/>
              </a:solidFill>
            </a:rPr>
            <a:t>Percentile-transformed</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-0.08125</cdr:x>
      <cdr:y>-0.0005</cdr:y>
    </cdr:from>
    <cdr:to>
      <cdr:x>0.53875</cdr:x>
      <cdr:y>0.112</cdr:y>
    </cdr:to>
    <cdr:sp>
      <cdr:nvSpPr>
        <cdr:cNvPr id="1" name="Text Box 2"/>
        <cdr:cNvSpPr txBox="1">
          <a:spLocks noChangeArrowheads="1"/>
        </cdr:cNvSpPr>
      </cdr:nvSpPr>
      <cdr:spPr>
        <a:xfrm>
          <a:off x="0" y="0"/>
          <a:ext cx="0" cy="247650"/>
        </a:xfrm>
        <a:prstGeom prst="rect">
          <a:avLst/>
        </a:prstGeom>
        <a:noFill/>
        <a:ln w="9525" cmpd="sng">
          <a:noFill/>
        </a:ln>
      </cdr:spPr>
      <cdr:txBody>
        <a:bodyPr vertOverflow="clip" wrap="square" lIns="27432" tIns="18288" rIns="0" bIns="0"/>
        <a:p>
          <a:pPr algn="l">
            <a:defRPr/>
          </a:pPr>
          <a:r>
            <a:rPr lang="en-US" cap="none" sz="765" b="0" i="0" u="none" baseline="0">
              <a:solidFill>
                <a:srgbClr val="000000"/>
              </a:solidFill>
            </a:rPr>
            <a:t>Root-transformed</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-0.09075</cdr:x>
      <cdr:y>0</cdr:y>
    </cdr:from>
    <cdr:to>
      <cdr:x>0.5365</cdr:x>
      <cdr:y>0.12025</cdr:y>
    </cdr:to>
    <cdr:sp>
      <cdr:nvSpPr>
        <cdr:cNvPr id="1" name="Text Box 2"/>
        <cdr:cNvSpPr txBox="1">
          <a:spLocks noChangeArrowheads="1"/>
        </cdr:cNvSpPr>
      </cdr:nvSpPr>
      <cdr:spPr>
        <a:xfrm>
          <a:off x="0" y="0"/>
          <a:ext cx="0" cy="276225"/>
        </a:xfrm>
        <a:prstGeom prst="rect">
          <a:avLst/>
        </a:prstGeom>
        <a:noFill/>
        <a:ln w="9525" cmpd="sng">
          <a:noFill/>
        </a:ln>
      </cdr:spPr>
      <cdr:txBody>
        <a:bodyPr vertOverflow="clip" wrap="square" lIns="27432" tIns="18288" rIns="0" bIns="0"/>
        <a:p>
          <a:pPr algn="l">
            <a:defRPr/>
          </a:pPr>
          <a:r>
            <a:rPr lang="en-US" cap="none" sz="765" b="0" i="0" u="none" baseline="0">
              <a:solidFill>
                <a:srgbClr val="000000"/>
              </a:solidFill>
            </a:rPr>
            <a:t>Root-transformed</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-0.0745</cdr:x>
      <cdr:y>0</cdr:y>
    </cdr:from>
    <cdr:to>
      <cdr:x>0.7835</cdr:x>
      <cdr:y>0.107</cdr:y>
    </cdr:to>
    <cdr:sp>
      <cdr:nvSpPr>
        <cdr:cNvPr id="1" name="Text Box 2"/>
        <cdr:cNvSpPr txBox="1">
          <a:spLocks noChangeArrowheads="1"/>
        </cdr:cNvSpPr>
      </cdr:nvSpPr>
      <cdr:spPr>
        <a:xfrm>
          <a:off x="0" y="0"/>
          <a:ext cx="0" cy="295275"/>
        </a:xfrm>
        <a:prstGeom prst="rect">
          <a:avLst/>
        </a:prstGeom>
        <a:noFill/>
        <a:ln w="9525" cmpd="sng">
          <a:noFill/>
        </a:ln>
      </cdr:spPr>
      <cdr:txBody>
        <a:bodyPr vertOverflow="clip" wrap="square" lIns="27432" tIns="18288" rIns="0" bIns="0"/>
        <a:p>
          <a:pPr algn="l">
            <a:defRPr/>
          </a:pPr>
          <a:r>
            <a:rPr lang="en-US" cap="none" sz="765" b="0" i="0" u="none" baseline="0">
              <a:solidFill>
                <a:srgbClr val="000000"/>
              </a:solidFill>
            </a:rPr>
            <a:t>Root-transformed</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-0.09075</cdr:x>
      <cdr:y>0.00125</cdr:y>
    </cdr:from>
    <cdr:to>
      <cdr:x>0.53625</cdr:x>
      <cdr:y>0.1395</cdr:y>
    </cdr:to>
    <cdr:sp>
      <cdr:nvSpPr>
        <cdr:cNvPr id="1" name="Text Box 2"/>
        <cdr:cNvSpPr txBox="1">
          <a:spLocks noChangeArrowheads="1"/>
        </cdr:cNvSpPr>
      </cdr:nvSpPr>
      <cdr:spPr>
        <a:xfrm>
          <a:off x="0" y="0"/>
          <a:ext cx="0" cy="352425"/>
        </a:xfrm>
        <a:prstGeom prst="rect">
          <a:avLst/>
        </a:prstGeom>
        <a:noFill/>
        <a:ln w="9525" cmpd="sng">
          <a:noFill/>
        </a:ln>
      </cdr:spPr>
      <cdr:txBody>
        <a:bodyPr vertOverflow="clip" wrap="square" lIns="27432" tIns="18288" rIns="0" bIns="0"/>
        <a:p>
          <a:pPr algn="l">
            <a:defRPr/>
          </a:pPr>
          <a:r>
            <a:rPr lang="en-US" cap="none" sz="765" b="0" i="0" u="none" baseline="0">
              <a:solidFill>
                <a:srgbClr val="000000"/>
              </a:solidFill>
            </a:rPr>
            <a:t>Root-transformed</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-0.0705</cdr:x>
      <cdr:y>0.01</cdr:y>
    </cdr:from>
    <cdr:to>
      <cdr:x>0.64075</cdr:x>
      <cdr:y>0.10675</cdr:y>
    </cdr:to>
    <cdr:sp>
      <cdr:nvSpPr>
        <cdr:cNvPr id="1" name="Text Box 2"/>
        <cdr:cNvSpPr txBox="1">
          <a:spLocks noChangeArrowheads="1"/>
        </cdr:cNvSpPr>
      </cdr:nvSpPr>
      <cdr:spPr>
        <a:xfrm>
          <a:off x="0" y="38100"/>
          <a:ext cx="0" cy="409575"/>
        </a:xfrm>
        <a:prstGeom prst="rect">
          <a:avLst/>
        </a:prstGeom>
        <a:noFill/>
        <a:ln w="9525" cmpd="sng">
          <a:noFill/>
        </a:ln>
      </cdr:spPr>
      <cdr:txBody>
        <a:bodyPr vertOverflow="clip" wrap="square" lIns="27432" tIns="18288" rIns="0" bIns="0"/>
        <a:p>
          <a:pPr algn="l">
            <a:defRPr/>
          </a:pPr>
          <a:r>
            <a:rPr lang="en-US" cap="none" sz="765" b="0" i="0" u="none" baseline="0">
              <a:solidFill>
                <a:srgbClr val="000000"/>
              </a:solidFill>
            </a:rPr>
            <a:t>Arcsineroot-transformed</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-0.09075</cdr:x>
      <cdr:y>-0.001</cdr:y>
    </cdr:from>
    <cdr:to>
      <cdr:x>0.6465</cdr:x>
      <cdr:y>0.08475</cdr:y>
    </cdr:to>
    <cdr:sp>
      <cdr:nvSpPr>
        <cdr:cNvPr id="1" name="Text Box 2"/>
        <cdr:cNvSpPr txBox="1">
          <a:spLocks noChangeArrowheads="1"/>
        </cdr:cNvSpPr>
      </cdr:nvSpPr>
      <cdr:spPr>
        <a:xfrm>
          <a:off x="0" y="0"/>
          <a:ext cx="0" cy="190500"/>
        </a:xfrm>
        <a:prstGeom prst="rect">
          <a:avLst/>
        </a:prstGeom>
        <a:noFill/>
        <a:ln w="9525" cmpd="sng">
          <a:noFill/>
        </a:ln>
      </cdr:spPr>
      <cdr:txBody>
        <a:bodyPr vertOverflow="clip" wrap="square" lIns="27432" tIns="18288" rIns="0" bIns="0"/>
        <a:p>
          <a:pPr algn="l">
            <a:defRPr/>
          </a:pPr>
          <a:r>
            <a:rPr lang="en-US" cap="none" sz="765" b="0" i="0" u="none" baseline="0">
              <a:solidFill>
                <a:srgbClr val="000000"/>
              </a:solidFill>
            </a:rPr>
            <a:t>Arcsineroot-transformed</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-0.09075</cdr:x>
      <cdr:y>-0.0005</cdr:y>
    </cdr:from>
    <cdr:to>
      <cdr:x>0.63775</cdr:x>
      <cdr:y>0.101</cdr:y>
    </cdr:to>
    <cdr:sp>
      <cdr:nvSpPr>
        <cdr:cNvPr id="1" name="Text Box 2"/>
        <cdr:cNvSpPr txBox="1">
          <a:spLocks noChangeArrowheads="1"/>
        </cdr:cNvSpPr>
      </cdr:nvSpPr>
      <cdr:spPr>
        <a:xfrm>
          <a:off x="0" y="0"/>
          <a:ext cx="0" cy="257175"/>
        </a:xfrm>
        <a:prstGeom prst="rect">
          <a:avLst/>
        </a:prstGeom>
        <a:noFill/>
        <a:ln w="9525" cmpd="sng">
          <a:noFill/>
        </a:ln>
      </cdr:spPr>
      <cdr:txBody>
        <a:bodyPr vertOverflow="clip" wrap="square" lIns="27432" tIns="18288" rIns="0" bIns="0"/>
        <a:p>
          <a:pPr algn="l">
            <a:defRPr/>
          </a:pPr>
          <a:r>
            <a:rPr lang="en-US" cap="none" sz="765" b="0" i="0" u="none" baseline="0">
              <a:solidFill>
                <a:srgbClr val="000000"/>
              </a:solidFill>
            </a:rPr>
            <a:t>Arcsineroot-transformed</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0.09825</cdr:x>
      <cdr:y>0</cdr:y>
    </cdr:from>
    <cdr:to>
      <cdr:x>0.48175</cdr:x>
      <cdr:y>0.16825</cdr:y>
    </cdr:to>
    <cdr:sp>
      <cdr:nvSpPr>
        <cdr:cNvPr id="1" name="Text Box 2"/>
        <cdr:cNvSpPr txBox="1">
          <a:spLocks noChangeArrowheads="1"/>
        </cdr:cNvSpPr>
      </cdr:nvSpPr>
      <cdr:spPr>
        <a:xfrm>
          <a:off x="228600" y="0"/>
          <a:ext cx="923925" cy="381000"/>
        </a:xfrm>
        <a:prstGeom prst="rect">
          <a:avLst/>
        </a:prstGeom>
        <a:noFill/>
        <a:ln w="9525" cmpd="sng">
          <a:noFill/>
        </a:ln>
      </cdr:spPr>
      <cdr:txBody>
        <a:bodyPr vertOverflow="clip" wrap="square" lIns="27432" tIns="18288" rIns="0" bIns="0"/>
        <a:p>
          <a:pPr algn="l">
            <a:defRPr/>
          </a:pPr>
          <a:r>
            <a:rPr lang="en-US" cap="none" sz="765" b="0" i="0" u="none" baseline="0">
              <a:solidFill>
                <a:srgbClr val="000000"/>
              </a:solidFill>
            </a:rPr>
            <a:t>Raw Data</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-0.09075</cdr:x>
      <cdr:y>-0.001</cdr:y>
    </cdr:from>
    <cdr:to>
      <cdr:x>0.60225</cdr:x>
      <cdr:y>0.10675</cdr:y>
    </cdr:to>
    <cdr:sp>
      <cdr:nvSpPr>
        <cdr:cNvPr id="1" name="Text Box 2"/>
        <cdr:cNvSpPr txBox="1">
          <a:spLocks noChangeArrowheads="1"/>
        </cdr:cNvSpPr>
      </cdr:nvSpPr>
      <cdr:spPr>
        <a:xfrm>
          <a:off x="0" y="0"/>
          <a:ext cx="0" cy="238125"/>
        </a:xfrm>
        <a:prstGeom prst="rect">
          <a:avLst/>
        </a:prstGeom>
        <a:noFill/>
        <a:ln w="9525" cmpd="sng">
          <a:noFill/>
        </a:ln>
      </cdr:spPr>
      <cdr:txBody>
        <a:bodyPr vertOverflow="clip" wrap="square" lIns="27432" tIns="18288" rIns="0" bIns="0"/>
        <a:p>
          <a:pPr algn="l">
            <a:defRPr/>
          </a:pPr>
          <a:r>
            <a:rPr lang="en-US" cap="none" sz="765" b="0" i="0" u="none" baseline="0">
              <a:solidFill>
                <a:srgbClr val="000000"/>
              </a:solidFill>
            </a:rPr>
            <a:t>Arcsineroot-transformed</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0.01225</cdr:x>
      <cdr:y>0</cdr:y>
    </cdr:from>
    <cdr:to>
      <cdr:x>0.336</cdr:x>
      <cdr:y>0.144</cdr:y>
    </cdr:to>
    <cdr:sp>
      <cdr:nvSpPr>
        <cdr:cNvPr id="1" name="Text Box 2"/>
        <cdr:cNvSpPr txBox="1">
          <a:spLocks noChangeArrowheads="1"/>
        </cdr:cNvSpPr>
      </cdr:nvSpPr>
      <cdr:spPr>
        <a:xfrm>
          <a:off x="28575" y="0"/>
          <a:ext cx="781050" cy="361950"/>
        </a:xfrm>
        <a:prstGeom prst="rect">
          <a:avLst/>
        </a:prstGeom>
        <a:noFill/>
        <a:ln w="9525" cmpd="sng">
          <a:noFill/>
        </a:ln>
      </cdr:spPr>
      <cdr:txBody>
        <a:bodyPr vertOverflow="clip" wrap="square" lIns="27432" tIns="18288" rIns="0" bIns="0"/>
        <a:p>
          <a:pPr algn="l">
            <a:defRPr/>
          </a:pPr>
          <a:r>
            <a:rPr lang="en-US" cap="none" sz="765" b="0" i="0" u="none" baseline="0">
              <a:solidFill>
                <a:srgbClr val="000000"/>
              </a:solidFill>
            </a:rPr>
            <a:t>Raw Data</a:t>
          </a:r>
        </a:p>
      </cdr:txBody>
    </cdr:sp>
  </cdr:relSizeAnchor>
  <cdr:relSizeAnchor xmlns:cdr="http://schemas.openxmlformats.org/drawingml/2006/chartDrawing">
    <cdr:from>
      <cdr:x>0.17625</cdr:x>
      <cdr:y>0.8765</cdr:y>
    </cdr:from>
    <cdr:to>
      <cdr:x>0.3575</cdr:x>
      <cdr:y>0.9405</cdr:y>
    </cdr:to>
    <cdr:sp>
      <cdr:nvSpPr>
        <cdr:cNvPr id="2" name="Text Box 3"/>
        <cdr:cNvSpPr txBox="1">
          <a:spLocks noChangeArrowheads="1"/>
        </cdr:cNvSpPr>
      </cdr:nvSpPr>
      <cdr:spPr>
        <a:xfrm>
          <a:off x="419100" y="2181225"/>
          <a:ext cx="438150" cy="161925"/>
        </a:xfrm>
        <a:prstGeom prst="rect">
          <a:avLst/>
        </a:prstGeom>
        <a:noFill/>
        <a:ln w="9525" cmpd="sng">
          <a:noFill/>
        </a:ln>
      </cdr:spPr>
      <cdr:txBody>
        <a:bodyPr vertOverflow="clip" wrap="square" lIns="27432" tIns="18288" rIns="27432" bIns="0"/>
        <a:p>
          <a:pPr algn="ctr">
            <a:defRPr/>
          </a:pPr>
          <a:r>
            <a:rPr lang="en-US" cap="none" sz="765" b="0" i="0" u="none" baseline="0">
              <a:solidFill>
                <a:srgbClr val="000000"/>
              </a:solidFill>
            </a:rPr>
            <a:t>Pre1</a:t>
          </a:r>
        </a:p>
      </cdr:txBody>
    </cdr:sp>
  </cdr:relSizeAnchor>
  <cdr:relSizeAnchor xmlns:cdr="http://schemas.openxmlformats.org/drawingml/2006/chartDrawing">
    <cdr:from>
      <cdr:x>0.384</cdr:x>
      <cdr:y>0.8765</cdr:y>
    </cdr:from>
    <cdr:to>
      <cdr:x>0.56775</cdr:x>
      <cdr:y>0.9405</cdr:y>
    </cdr:to>
    <cdr:sp>
      <cdr:nvSpPr>
        <cdr:cNvPr id="3" name="Text Box 4"/>
        <cdr:cNvSpPr txBox="1">
          <a:spLocks noChangeArrowheads="1"/>
        </cdr:cNvSpPr>
      </cdr:nvSpPr>
      <cdr:spPr>
        <a:xfrm>
          <a:off x="923925" y="2181225"/>
          <a:ext cx="447675" cy="161925"/>
        </a:xfrm>
        <a:prstGeom prst="rect">
          <a:avLst/>
        </a:prstGeom>
        <a:noFill/>
        <a:ln w="9525" cmpd="sng">
          <a:noFill/>
        </a:ln>
      </cdr:spPr>
      <cdr:txBody>
        <a:bodyPr vertOverflow="clip" wrap="square" lIns="27432" tIns="18288" rIns="27432" bIns="0"/>
        <a:p>
          <a:pPr algn="ctr">
            <a:defRPr/>
          </a:pPr>
          <a:r>
            <a:rPr lang="en-US" cap="none" sz="765" b="0" i="0" u="none" baseline="0">
              <a:solidFill>
                <a:srgbClr val="000000"/>
              </a:solidFill>
            </a:rPr>
            <a:t>Pre2</a:t>
          </a:r>
        </a:p>
      </cdr:txBody>
    </cdr:sp>
  </cdr:relSizeAnchor>
  <cdr:relSizeAnchor xmlns:cdr="http://schemas.openxmlformats.org/drawingml/2006/chartDrawing">
    <cdr:from>
      <cdr:x>0.59325</cdr:x>
      <cdr:y>0.8765</cdr:y>
    </cdr:from>
    <cdr:to>
      <cdr:x>0.777</cdr:x>
      <cdr:y>0.9405</cdr:y>
    </cdr:to>
    <cdr:sp>
      <cdr:nvSpPr>
        <cdr:cNvPr id="4" name="Text Box 5"/>
        <cdr:cNvSpPr txBox="1">
          <a:spLocks noChangeArrowheads="1"/>
        </cdr:cNvSpPr>
      </cdr:nvSpPr>
      <cdr:spPr>
        <a:xfrm>
          <a:off x="1428750" y="2181225"/>
          <a:ext cx="447675" cy="161925"/>
        </a:xfrm>
        <a:prstGeom prst="rect">
          <a:avLst/>
        </a:prstGeom>
        <a:noFill/>
        <a:ln w="9525" cmpd="sng">
          <a:noFill/>
        </a:ln>
      </cdr:spPr>
      <cdr:txBody>
        <a:bodyPr vertOverflow="clip" wrap="square" lIns="27432" tIns="18288" rIns="27432" bIns="0"/>
        <a:p>
          <a:pPr algn="ctr">
            <a:defRPr/>
          </a:pPr>
          <a:r>
            <a:rPr lang="en-US" cap="none" sz="765" b="0" i="0" u="none" baseline="0">
              <a:solidFill>
                <a:srgbClr val="000000"/>
              </a:solidFill>
            </a:rPr>
            <a:t>Post1</a:t>
          </a:r>
        </a:p>
      </cdr:txBody>
    </cdr:sp>
  </cdr:relSizeAnchor>
  <cdr:relSizeAnchor xmlns:cdr="http://schemas.openxmlformats.org/drawingml/2006/chartDrawing">
    <cdr:from>
      <cdr:x>0.81</cdr:x>
      <cdr:y>0.8765</cdr:y>
    </cdr:from>
    <cdr:to>
      <cdr:x>0.98725</cdr:x>
      <cdr:y>0.9405</cdr:y>
    </cdr:to>
    <cdr:sp>
      <cdr:nvSpPr>
        <cdr:cNvPr id="5" name="Text Box 6"/>
        <cdr:cNvSpPr txBox="1">
          <a:spLocks noChangeArrowheads="1"/>
        </cdr:cNvSpPr>
      </cdr:nvSpPr>
      <cdr:spPr>
        <a:xfrm>
          <a:off x="1952625" y="2181225"/>
          <a:ext cx="428625" cy="161925"/>
        </a:xfrm>
        <a:prstGeom prst="rect">
          <a:avLst/>
        </a:prstGeom>
        <a:noFill/>
        <a:ln w="9525" cmpd="sng">
          <a:noFill/>
        </a:ln>
      </cdr:spPr>
      <cdr:txBody>
        <a:bodyPr vertOverflow="clip" wrap="square" lIns="27432" tIns="18288" rIns="27432" bIns="0"/>
        <a:p>
          <a:pPr algn="ctr">
            <a:defRPr/>
          </a:pPr>
          <a:r>
            <a:rPr lang="en-US" cap="none" sz="765" b="0" i="0" u="none" baseline="0">
              <a:solidFill>
                <a:srgbClr val="000000"/>
              </a:solidFill>
            </a:rPr>
            <a:t>Post2</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cdr:x>
      <cdr:y>0</cdr:y>
    </cdr:from>
    <cdr:to>
      <cdr:x>0.563</cdr:x>
      <cdr:y>0.1275</cdr:y>
    </cdr:to>
    <cdr:sp>
      <cdr:nvSpPr>
        <cdr:cNvPr id="1" name="Text Box 2"/>
        <cdr:cNvSpPr txBox="1">
          <a:spLocks noChangeArrowheads="1"/>
        </cdr:cNvSpPr>
      </cdr:nvSpPr>
      <cdr:spPr>
        <a:xfrm>
          <a:off x="38100" y="0"/>
          <a:ext cx="1323975" cy="314325"/>
        </a:xfrm>
        <a:prstGeom prst="rect">
          <a:avLst/>
        </a:prstGeom>
        <a:noFill/>
        <a:ln w="9525" cmpd="sng">
          <a:noFill/>
        </a:ln>
      </cdr:spPr>
      <cdr:txBody>
        <a:bodyPr vertOverflow="clip" wrap="square" lIns="27432" tIns="18288" rIns="0" bIns="0"/>
        <a:p>
          <a:pPr algn="l">
            <a:defRPr/>
          </a:pPr>
          <a:r>
            <a:rPr lang="en-US" cap="none" sz="765" b="0" i="0" u="none" baseline="0">
              <a:solidFill>
                <a:srgbClr val="000000"/>
              </a:solidFill>
            </a:rPr>
            <a:t>Back-transformed Data</a:t>
          </a:r>
        </a:p>
      </cdr:txBody>
    </cdr:sp>
  </cdr:relSizeAnchor>
  <cdr:relSizeAnchor xmlns:cdr="http://schemas.openxmlformats.org/drawingml/2006/chartDrawing">
    <cdr:from>
      <cdr:x>0.23425</cdr:x>
      <cdr:y>0.795</cdr:y>
    </cdr:from>
    <cdr:to>
      <cdr:x>0.40075</cdr:x>
      <cdr:y>0.902</cdr:y>
    </cdr:to>
    <cdr:sp>
      <cdr:nvSpPr>
        <cdr:cNvPr id="2" name="Text Box 3"/>
        <cdr:cNvSpPr txBox="1">
          <a:spLocks noChangeArrowheads="1"/>
        </cdr:cNvSpPr>
      </cdr:nvSpPr>
      <cdr:spPr>
        <a:xfrm>
          <a:off x="561975" y="1981200"/>
          <a:ext cx="400050" cy="266700"/>
        </a:xfrm>
        <a:prstGeom prst="rect">
          <a:avLst/>
        </a:prstGeom>
        <a:noFill/>
        <a:ln w="9525" cmpd="sng">
          <a:noFill/>
        </a:ln>
      </cdr:spPr>
      <cdr:txBody>
        <a:bodyPr vertOverflow="clip" wrap="square" lIns="27432" tIns="18288" rIns="27432" bIns="0"/>
        <a:p>
          <a:pPr algn="ctr">
            <a:defRPr/>
          </a:pPr>
          <a:r>
            <a:rPr lang="en-US" cap="none" sz="765" b="0" i="0" u="none" baseline="0">
              <a:solidFill>
                <a:srgbClr val="000000"/>
              </a:solidFill>
            </a:rPr>
            <a:t>Pre1</a:t>
          </a:r>
        </a:p>
      </cdr:txBody>
    </cdr:sp>
  </cdr:relSizeAnchor>
  <cdr:relSizeAnchor xmlns:cdr="http://schemas.openxmlformats.org/drawingml/2006/chartDrawing">
    <cdr:from>
      <cdr:x>0.42675</cdr:x>
      <cdr:y>0.795</cdr:y>
    </cdr:from>
    <cdr:to>
      <cdr:x>0.594</cdr:x>
      <cdr:y>0.902</cdr:y>
    </cdr:to>
    <cdr:sp>
      <cdr:nvSpPr>
        <cdr:cNvPr id="3" name="Text Box 4"/>
        <cdr:cNvSpPr txBox="1">
          <a:spLocks noChangeArrowheads="1"/>
        </cdr:cNvSpPr>
      </cdr:nvSpPr>
      <cdr:spPr>
        <a:xfrm>
          <a:off x="1028700" y="1981200"/>
          <a:ext cx="400050" cy="266700"/>
        </a:xfrm>
        <a:prstGeom prst="rect">
          <a:avLst/>
        </a:prstGeom>
        <a:noFill/>
        <a:ln w="9525" cmpd="sng">
          <a:noFill/>
        </a:ln>
      </cdr:spPr>
      <cdr:txBody>
        <a:bodyPr vertOverflow="clip" wrap="square" lIns="27432" tIns="18288" rIns="27432" bIns="0"/>
        <a:p>
          <a:pPr algn="ctr">
            <a:defRPr/>
          </a:pPr>
          <a:r>
            <a:rPr lang="en-US" cap="none" sz="765" b="0" i="0" u="none" baseline="0">
              <a:solidFill>
                <a:srgbClr val="000000"/>
              </a:solidFill>
            </a:rPr>
            <a:t>Pre2</a:t>
          </a:r>
        </a:p>
      </cdr:txBody>
    </cdr:sp>
  </cdr:relSizeAnchor>
  <cdr:relSizeAnchor xmlns:cdr="http://schemas.openxmlformats.org/drawingml/2006/chartDrawing">
    <cdr:from>
      <cdr:x>0.61975</cdr:x>
      <cdr:y>0.795</cdr:y>
    </cdr:from>
    <cdr:to>
      <cdr:x>0.78625</cdr:x>
      <cdr:y>0.902</cdr:y>
    </cdr:to>
    <cdr:sp>
      <cdr:nvSpPr>
        <cdr:cNvPr id="4" name="Text Box 5"/>
        <cdr:cNvSpPr txBox="1">
          <a:spLocks noChangeArrowheads="1"/>
        </cdr:cNvSpPr>
      </cdr:nvSpPr>
      <cdr:spPr>
        <a:xfrm>
          <a:off x="1495425" y="1981200"/>
          <a:ext cx="400050" cy="266700"/>
        </a:xfrm>
        <a:prstGeom prst="rect">
          <a:avLst/>
        </a:prstGeom>
        <a:noFill/>
        <a:ln w="9525" cmpd="sng">
          <a:noFill/>
        </a:ln>
      </cdr:spPr>
      <cdr:txBody>
        <a:bodyPr vertOverflow="clip" wrap="square" lIns="27432" tIns="18288" rIns="27432" bIns="0"/>
        <a:p>
          <a:pPr algn="ctr">
            <a:defRPr/>
          </a:pPr>
          <a:r>
            <a:rPr lang="en-US" cap="none" sz="765" b="0" i="0" u="none" baseline="0">
              <a:solidFill>
                <a:srgbClr val="000000"/>
              </a:solidFill>
            </a:rPr>
            <a:t>Post1</a:t>
          </a:r>
        </a:p>
      </cdr:txBody>
    </cdr:sp>
  </cdr:relSizeAnchor>
  <cdr:relSizeAnchor xmlns:cdr="http://schemas.openxmlformats.org/drawingml/2006/chartDrawing">
    <cdr:from>
      <cdr:x>0.8105</cdr:x>
      <cdr:y>0.79575</cdr:y>
    </cdr:from>
    <cdr:to>
      <cdr:x>0.97775</cdr:x>
      <cdr:y>0.9025</cdr:y>
    </cdr:to>
    <cdr:sp>
      <cdr:nvSpPr>
        <cdr:cNvPr id="5" name="Text Box 6"/>
        <cdr:cNvSpPr txBox="1">
          <a:spLocks noChangeArrowheads="1"/>
        </cdr:cNvSpPr>
      </cdr:nvSpPr>
      <cdr:spPr>
        <a:xfrm>
          <a:off x="1952625" y="1981200"/>
          <a:ext cx="400050" cy="266700"/>
        </a:xfrm>
        <a:prstGeom prst="rect">
          <a:avLst/>
        </a:prstGeom>
        <a:noFill/>
        <a:ln w="9525" cmpd="sng">
          <a:noFill/>
        </a:ln>
      </cdr:spPr>
      <cdr:txBody>
        <a:bodyPr vertOverflow="clip" wrap="square" lIns="27432" tIns="18288" rIns="27432" bIns="0"/>
        <a:p>
          <a:pPr algn="ctr">
            <a:defRPr/>
          </a:pPr>
          <a:r>
            <a:rPr lang="en-US" cap="none" sz="765" b="0" i="0" u="none" baseline="0">
              <a:solidFill>
                <a:srgbClr val="000000"/>
              </a:solidFill>
            </a:rPr>
            <a:t>Post2</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cdr:y>
    </cdr:from>
    <cdr:to>
      <cdr:x>0.602</cdr:x>
      <cdr:y>0.09575</cdr:y>
    </cdr:to>
    <cdr:sp>
      <cdr:nvSpPr>
        <cdr:cNvPr id="1" name="Text Box 2"/>
        <cdr:cNvSpPr txBox="1">
          <a:spLocks noChangeArrowheads="1"/>
        </cdr:cNvSpPr>
      </cdr:nvSpPr>
      <cdr:spPr>
        <a:xfrm>
          <a:off x="0" y="0"/>
          <a:ext cx="1457325" cy="238125"/>
        </a:xfrm>
        <a:prstGeom prst="rect">
          <a:avLst/>
        </a:prstGeom>
        <a:noFill/>
        <a:ln w="9525" cmpd="sng">
          <a:noFill/>
        </a:ln>
      </cdr:spPr>
      <cdr:txBody>
        <a:bodyPr vertOverflow="clip" wrap="square" lIns="27432" tIns="18288" rIns="0" bIns="0"/>
        <a:p>
          <a:pPr algn="l">
            <a:defRPr/>
          </a:pPr>
          <a:r>
            <a:rPr lang="en-US" cap="none" sz="765" b="0" i="0" u="none" baseline="0">
              <a:solidFill>
                <a:srgbClr val="000000"/>
              </a:solidFill>
            </a:rPr>
            <a:t>Back-transformed Data</a:t>
          </a:r>
        </a:p>
      </cdr:txBody>
    </cdr:sp>
  </cdr:relSizeAnchor>
  <cdr:relSizeAnchor xmlns:cdr="http://schemas.openxmlformats.org/drawingml/2006/chartDrawing">
    <cdr:from>
      <cdr:x>0.20775</cdr:x>
      <cdr:y>0.80875</cdr:y>
    </cdr:from>
    <cdr:to>
      <cdr:x>0.3805</cdr:x>
      <cdr:y>0.907</cdr:y>
    </cdr:to>
    <cdr:sp>
      <cdr:nvSpPr>
        <cdr:cNvPr id="2" name="Text Box 3"/>
        <cdr:cNvSpPr txBox="1">
          <a:spLocks noChangeArrowheads="1"/>
        </cdr:cNvSpPr>
      </cdr:nvSpPr>
      <cdr:spPr>
        <a:xfrm>
          <a:off x="495300" y="2009775"/>
          <a:ext cx="419100" cy="247650"/>
        </a:xfrm>
        <a:prstGeom prst="rect">
          <a:avLst/>
        </a:prstGeom>
        <a:noFill/>
        <a:ln w="9525" cmpd="sng">
          <a:noFill/>
        </a:ln>
      </cdr:spPr>
      <cdr:txBody>
        <a:bodyPr vertOverflow="clip" wrap="square" lIns="27432" tIns="18288" rIns="27432" bIns="0"/>
        <a:p>
          <a:pPr algn="ctr">
            <a:defRPr/>
          </a:pPr>
          <a:r>
            <a:rPr lang="en-US" cap="none" sz="765" b="0" i="0" u="none" baseline="0">
              <a:solidFill>
                <a:srgbClr val="000000"/>
              </a:solidFill>
            </a:rPr>
            <a:t>Pre1</a:t>
          </a:r>
        </a:p>
      </cdr:txBody>
    </cdr:sp>
  </cdr:relSizeAnchor>
  <cdr:relSizeAnchor xmlns:cdr="http://schemas.openxmlformats.org/drawingml/2006/chartDrawing">
    <cdr:from>
      <cdr:x>0.40575</cdr:x>
      <cdr:y>0.80875</cdr:y>
    </cdr:from>
    <cdr:to>
      <cdr:x>0.57675</cdr:x>
      <cdr:y>0.907</cdr:y>
    </cdr:to>
    <cdr:sp>
      <cdr:nvSpPr>
        <cdr:cNvPr id="3" name="Text Box 4"/>
        <cdr:cNvSpPr txBox="1">
          <a:spLocks noChangeArrowheads="1"/>
        </cdr:cNvSpPr>
      </cdr:nvSpPr>
      <cdr:spPr>
        <a:xfrm>
          <a:off x="981075" y="2009775"/>
          <a:ext cx="409575" cy="247650"/>
        </a:xfrm>
        <a:prstGeom prst="rect">
          <a:avLst/>
        </a:prstGeom>
        <a:noFill/>
        <a:ln w="9525" cmpd="sng">
          <a:noFill/>
        </a:ln>
      </cdr:spPr>
      <cdr:txBody>
        <a:bodyPr vertOverflow="clip" wrap="square" lIns="27432" tIns="18288" rIns="27432" bIns="0"/>
        <a:p>
          <a:pPr algn="ctr">
            <a:defRPr/>
          </a:pPr>
          <a:r>
            <a:rPr lang="en-US" cap="none" sz="765" b="0" i="0" u="none" baseline="0">
              <a:solidFill>
                <a:srgbClr val="000000"/>
              </a:solidFill>
            </a:rPr>
            <a:t>Pre2</a:t>
          </a:r>
        </a:p>
      </cdr:txBody>
    </cdr:sp>
  </cdr:relSizeAnchor>
  <cdr:relSizeAnchor xmlns:cdr="http://schemas.openxmlformats.org/drawingml/2006/chartDrawing">
    <cdr:from>
      <cdr:x>0.60275</cdr:x>
      <cdr:y>0.80875</cdr:y>
    </cdr:from>
    <cdr:to>
      <cdr:x>0.77475</cdr:x>
      <cdr:y>0.907</cdr:y>
    </cdr:to>
    <cdr:sp>
      <cdr:nvSpPr>
        <cdr:cNvPr id="4" name="Text Box 5"/>
        <cdr:cNvSpPr txBox="1">
          <a:spLocks noChangeArrowheads="1"/>
        </cdr:cNvSpPr>
      </cdr:nvSpPr>
      <cdr:spPr>
        <a:xfrm>
          <a:off x="1457325" y="2009775"/>
          <a:ext cx="419100" cy="247650"/>
        </a:xfrm>
        <a:prstGeom prst="rect">
          <a:avLst/>
        </a:prstGeom>
        <a:noFill/>
        <a:ln w="9525" cmpd="sng">
          <a:noFill/>
        </a:ln>
      </cdr:spPr>
      <cdr:txBody>
        <a:bodyPr vertOverflow="clip" wrap="square" lIns="27432" tIns="18288" rIns="27432" bIns="0"/>
        <a:p>
          <a:pPr algn="ctr">
            <a:defRPr/>
          </a:pPr>
          <a:r>
            <a:rPr lang="en-US" cap="none" sz="765" b="0" i="0" u="none" baseline="0">
              <a:solidFill>
                <a:srgbClr val="000000"/>
              </a:solidFill>
            </a:rPr>
            <a:t>Post1</a:t>
          </a:r>
        </a:p>
      </cdr:txBody>
    </cdr:sp>
  </cdr:relSizeAnchor>
  <cdr:relSizeAnchor xmlns:cdr="http://schemas.openxmlformats.org/drawingml/2006/chartDrawing">
    <cdr:from>
      <cdr:x>0.80175</cdr:x>
      <cdr:y>0.80875</cdr:y>
    </cdr:from>
    <cdr:to>
      <cdr:x>0.9735</cdr:x>
      <cdr:y>0.907</cdr:y>
    </cdr:to>
    <cdr:sp>
      <cdr:nvSpPr>
        <cdr:cNvPr id="5" name="Text Box 6"/>
        <cdr:cNvSpPr txBox="1">
          <a:spLocks noChangeArrowheads="1"/>
        </cdr:cNvSpPr>
      </cdr:nvSpPr>
      <cdr:spPr>
        <a:xfrm>
          <a:off x="1933575" y="2009775"/>
          <a:ext cx="419100" cy="247650"/>
        </a:xfrm>
        <a:prstGeom prst="rect">
          <a:avLst/>
        </a:prstGeom>
        <a:noFill/>
        <a:ln w="9525" cmpd="sng">
          <a:noFill/>
        </a:ln>
      </cdr:spPr>
      <cdr:txBody>
        <a:bodyPr vertOverflow="clip" wrap="square" lIns="27432" tIns="18288" rIns="27432" bIns="0"/>
        <a:p>
          <a:pPr algn="ctr">
            <a:defRPr/>
          </a:pPr>
          <a:r>
            <a:rPr lang="en-US" cap="none" sz="765" b="0" i="0" u="none" baseline="0">
              <a:solidFill>
                <a:srgbClr val="000000"/>
              </a:solidFill>
            </a:rPr>
            <a:t>Post2</a:t>
          </a:r>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-0.093</cdr:x>
      <cdr:y>0</cdr:y>
    </cdr:from>
    <cdr:to>
      <cdr:x>0.60675</cdr:x>
      <cdr:y>0.1045</cdr:y>
    </cdr:to>
    <cdr:sp>
      <cdr:nvSpPr>
        <cdr:cNvPr id="1" name="Text Box 2"/>
        <cdr:cNvSpPr txBox="1">
          <a:spLocks noChangeArrowheads="1"/>
        </cdr:cNvSpPr>
      </cdr:nvSpPr>
      <cdr:spPr>
        <a:xfrm>
          <a:off x="0" y="0"/>
          <a:ext cx="0" cy="257175"/>
        </a:xfrm>
        <a:prstGeom prst="rect">
          <a:avLst/>
        </a:prstGeom>
        <a:noFill/>
        <a:ln w="9525" cmpd="sng">
          <a:noFill/>
        </a:ln>
      </cdr:spPr>
      <cdr:txBody>
        <a:bodyPr vertOverflow="clip" wrap="square" lIns="27432" tIns="18288" rIns="0" bIns="0"/>
        <a:p>
          <a:pPr algn="l">
            <a:defRPr/>
          </a:pPr>
          <a:r>
            <a:rPr lang="en-US" cap="none" sz="765" b="0" i="0" u="none" baseline="0">
              <a:solidFill>
                <a:srgbClr val="000000"/>
              </a:solidFill>
            </a:rPr>
            <a:t>Back-transformed Data</a:t>
          </a:r>
        </a:p>
      </cdr:txBody>
    </cdr:sp>
  </cdr:relSizeAnchor>
  <cdr:relSizeAnchor xmlns:cdr="http://schemas.openxmlformats.org/drawingml/2006/chartDrawing">
    <cdr:from>
      <cdr:x>0.188</cdr:x>
      <cdr:y>0.803</cdr:y>
    </cdr:from>
    <cdr:to>
      <cdr:x>0.45075</cdr:x>
      <cdr:y>0.90325</cdr:y>
    </cdr:to>
    <cdr:sp>
      <cdr:nvSpPr>
        <cdr:cNvPr id="2" name="Text Box 3"/>
        <cdr:cNvSpPr txBox="1">
          <a:spLocks noChangeArrowheads="1"/>
        </cdr:cNvSpPr>
      </cdr:nvSpPr>
      <cdr:spPr>
        <a:xfrm>
          <a:off x="0" y="2000250"/>
          <a:ext cx="0" cy="247650"/>
        </a:xfrm>
        <a:prstGeom prst="rect">
          <a:avLst/>
        </a:prstGeom>
        <a:noFill/>
        <a:ln w="9525" cmpd="sng">
          <a:noFill/>
        </a:ln>
      </cdr:spPr>
      <cdr:txBody>
        <a:bodyPr vertOverflow="clip" wrap="square" lIns="27432" tIns="18288" rIns="27432" bIns="0"/>
        <a:p>
          <a:pPr algn="ctr">
            <a:defRPr/>
          </a:pPr>
          <a:r>
            <a:rPr lang="en-US" cap="none" sz="765" b="0" i="0" u="none" baseline="0">
              <a:solidFill>
                <a:srgbClr val="000000"/>
              </a:solidFill>
            </a:rPr>
            <a:t>Pre1</a:t>
          </a:r>
        </a:p>
      </cdr:txBody>
    </cdr:sp>
  </cdr:relSizeAnchor>
  <cdr:relSizeAnchor xmlns:cdr="http://schemas.openxmlformats.org/drawingml/2006/chartDrawing">
    <cdr:from>
      <cdr:x>0.47725</cdr:x>
      <cdr:y>0.803</cdr:y>
    </cdr:from>
    <cdr:to>
      <cdr:x>0.57725</cdr:x>
      <cdr:y>0.90325</cdr:y>
    </cdr:to>
    <cdr:sp>
      <cdr:nvSpPr>
        <cdr:cNvPr id="3" name="Text Box 4"/>
        <cdr:cNvSpPr txBox="1">
          <a:spLocks noChangeArrowheads="1"/>
        </cdr:cNvSpPr>
      </cdr:nvSpPr>
      <cdr:spPr>
        <a:xfrm>
          <a:off x="0" y="2000250"/>
          <a:ext cx="0" cy="247650"/>
        </a:xfrm>
        <a:prstGeom prst="rect">
          <a:avLst/>
        </a:prstGeom>
        <a:noFill/>
        <a:ln w="9525" cmpd="sng">
          <a:noFill/>
        </a:ln>
      </cdr:spPr>
      <cdr:txBody>
        <a:bodyPr vertOverflow="clip" wrap="square" lIns="27432" tIns="18288" rIns="27432" bIns="0"/>
        <a:p>
          <a:pPr algn="ctr">
            <a:defRPr/>
          </a:pPr>
          <a:r>
            <a:rPr lang="en-US" cap="none" sz="765" b="0" i="0" u="none" baseline="0">
              <a:solidFill>
                <a:srgbClr val="000000"/>
              </a:solidFill>
            </a:rPr>
            <a:t>Pre2</a:t>
          </a:r>
        </a:p>
      </cdr:txBody>
    </cdr:sp>
  </cdr:relSizeAnchor>
  <cdr:relSizeAnchor xmlns:cdr="http://schemas.openxmlformats.org/drawingml/2006/chartDrawing">
    <cdr:from>
      <cdr:x>0.608</cdr:x>
      <cdr:y>0.803</cdr:y>
    </cdr:from>
    <cdr:to>
      <cdr:x>0.80875</cdr:x>
      <cdr:y>0.90325</cdr:y>
    </cdr:to>
    <cdr:sp>
      <cdr:nvSpPr>
        <cdr:cNvPr id="4" name="Text Box 5"/>
        <cdr:cNvSpPr txBox="1">
          <a:spLocks noChangeArrowheads="1"/>
        </cdr:cNvSpPr>
      </cdr:nvSpPr>
      <cdr:spPr>
        <a:xfrm>
          <a:off x="0" y="2000250"/>
          <a:ext cx="0" cy="247650"/>
        </a:xfrm>
        <a:prstGeom prst="rect">
          <a:avLst/>
        </a:prstGeom>
        <a:noFill/>
        <a:ln w="9525" cmpd="sng">
          <a:noFill/>
        </a:ln>
      </cdr:spPr>
      <cdr:txBody>
        <a:bodyPr vertOverflow="clip" wrap="square" lIns="27432" tIns="18288" rIns="27432" bIns="0"/>
        <a:p>
          <a:pPr algn="ctr">
            <a:defRPr/>
          </a:pPr>
          <a:r>
            <a:rPr lang="en-US" cap="none" sz="765" b="0" i="0" u="none" baseline="0">
              <a:solidFill>
                <a:srgbClr val="000000"/>
              </a:solidFill>
            </a:rPr>
            <a:t>Post1</a:t>
          </a:r>
        </a:p>
      </cdr:txBody>
    </cdr:sp>
  </cdr:relSizeAnchor>
  <cdr:relSizeAnchor xmlns:cdr="http://schemas.openxmlformats.org/drawingml/2006/chartDrawing">
    <cdr:from>
      <cdr:x>0.84</cdr:x>
      <cdr:y>0.803</cdr:y>
    </cdr:from>
    <cdr:to>
      <cdr:x>1</cdr:x>
      <cdr:y>0.90325</cdr:y>
    </cdr:to>
    <cdr:sp>
      <cdr:nvSpPr>
        <cdr:cNvPr id="5" name="Text Box 6"/>
        <cdr:cNvSpPr txBox="1">
          <a:spLocks noChangeArrowheads="1"/>
        </cdr:cNvSpPr>
      </cdr:nvSpPr>
      <cdr:spPr>
        <a:xfrm>
          <a:off x="0" y="2000250"/>
          <a:ext cx="0" cy="247650"/>
        </a:xfrm>
        <a:prstGeom prst="rect">
          <a:avLst/>
        </a:prstGeom>
        <a:noFill/>
        <a:ln w="9525" cmpd="sng">
          <a:noFill/>
        </a:ln>
      </cdr:spPr>
      <cdr:txBody>
        <a:bodyPr vertOverflow="clip" wrap="square" lIns="27432" tIns="18288" rIns="27432" bIns="0"/>
        <a:p>
          <a:pPr algn="ctr">
            <a:defRPr/>
          </a:pPr>
          <a:r>
            <a:rPr lang="en-US" cap="none" sz="765" b="0" i="0" u="none" baseline="0">
              <a:solidFill>
                <a:srgbClr val="000000"/>
              </a:solidFill>
            </a:rPr>
            <a:t>Post2</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-0.093</cdr:x>
      <cdr:y>0</cdr:y>
    </cdr:from>
    <cdr:to>
      <cdr:x>0.576</cdr:x>
      <cdr:y>0.12475</cdr:y>
    </cdr:to>
    <cdr:sp>
      <cdr:nvSpPr>
        <cdr:cNvPr id="1" name="Text Box 2"/>
        <cdr:cNvSpPr txBox="1">
          <a:spLocks noChangeArrowheads="1"/>
        </cdr:cNvSpPr>
      </cdr:nvSpPr>
      <cdr:spPr>
        <a:xfrm>
          <a:off x="0" y="0"/>
          <a:ext cx="0" cy="314325"/>
        </a:xfrm>
        <a:prstGeom prst="rect">
          <a:avLst/>
        </a:prstGeom>
        <a:noFill/>
        <a:ln w="9525" cmpd="sng">
          <a:noFill/>
        </a:ln>
      </cdr:spPr>
      <cdr:txBody>
        <a:bodyPr vertOverflow="clip" wrap="square" lIns="27432" tIns="18288" rIns="0" bIns="0"/>
        <a:p>
          <a:pPr algn="l">
            <a:defRPr/>
          </a:pPr>
          <a:r>
            <a:rPr lang="en-US" cap="none" sz="765" b="0" i="0" u="none" baseline="0">
              <a:solidFill>
                <a:srgbClr val="000000"/>
              </a:solidFill>
            </a:rPr>
            <a:t>Back-transformed Data</a:t>
          </a:r>
        </a:p>
      </cdr:txBody>
    </cdr:sp>
  </cdr:relSizeAnchor>
  <cdr:relSizeAnchor xmlns:cdr="http://schemas.openxmlformats.org/drawingml/2006/chartDrawing">
    <cdr:from>
      <cdr:x>0.187</cdr:x>
      <cdr:y>0.803</cdr:y>
    </cdr:from>
    <cdr:to>
      <cdr:x>0.45025</cdr:x>
      <cdr:y>0.90325</cdr:y>
    </cdr:to>
    <cdr:sp>
      <cdr:nvSpPr>
        <cdr:cNvPr id="2" name="Text Box 3"/>
        <cdr:cNvSpPr txBox="1">
          <a:spLocks noChangeArrowheads="1"/>
        </cdr:cNvSpPr>
      </cdr:nvSpPr>
      <cdr:spPr>
        <a:xfrm>
          <a:off x="0" y="2000250"/>
          <a:ext cx="0" cy="247650"/>
        </a:xfrm>
        <a:prstGeom prst="rect">
          <a:avLst/>
        </a:prstGeom>
        <a:noFill/>
        <a:ln w="9525" cmpd="sng">
          <a:noFill/>
        </a:ln>
      </cdr:spPr>
      <cdr:txBody>
        <a:bodyPr vertOverflow="clip" wrap="square" lIns="27432" tIns="18288" rIns="27432" bIns="0"/>
        <a:p>
          <a:pPr algn="ctr">
            <a:defRPr/>
          </a:pPr>
          <a:r>
            <a:rPr lang="en-US" cap="none" sz="765" b="0" i="0" u="none" baseline="0">
              <a:solidFill>
                <a:srgbClr val="000000"/>
              </a:solidFill>
            </a:rPr>
            <a:t>Pre1</a:t>
          </a:r>
        </a:p>
      </cdr:txBody>
    </cdr:sp>
  </cdr:relSizeAnchor>
  <cdr:relSizeAnchor xmlns:cdr="http://schemas.openxmlformats.org/drawingml/2006/chartDrawing">
    <cdr:from>
      <cdr:x>0.477</cdr:x>
      <cdr:y>0.803</cdr:y>
    </cdr:from>
    <cdr:to>
      <cdr:x>0.57725</cdr:x>
      <cdr:y>0.90325</cdr:y>
    </cdr:to>
    <cdr:sp>
      <cdr:nvSpPr>
        <cdr:cNvPr id="3" name="Text Box 4"/>
        <cdr:cNvSpPr txBox="1">
          <a:spLocks noChangeArrowheads="1"/>
        </cdr:cNvSpPr>
      </cdr:nvSpPr>
      <cdr:spPr>
        <a:xfrm>
          <a:off x="0" y="2000250"/>
          <a:ext cx="0" cy="247650"/>
        </a:xfrm>
        <a:prstGeom prst="rect">
          <a:avLst/>
        </a:prstGeom>
        <a:noFill/>
        <a:ln w="9525" cmpd="sng">
          <a:noFill/>
        </a:ln>
      </cdr:spPr>
      <cdr:txBody>
        <a:bodyPr vertOverflow="clip" wrap="square" lIns="27432" tIns="18288" rIns="27432" bIns="0"/>
        <a:p>
          <a:pPr algn="ctr">
            <a:defRPr/>
          </a:pPr>
          <a:r>
            <a:rPr lang="en-US" cap="none" sz="765" b="0" i="0" u="none" baseline="0">
              <a:solidFill>
                <a:srgbClr val="000000"/>
              </a:solidFill>
            </a:rPr>
            <a:t>Pre2</a:t>
          </a:r>
        </a:p>
      </cdr:txBody>
    </cdr:sp>
  </cdr:relSizeAnchor>
  <cdr:relSizeAnchor xmlns:cdr="http://schemas.openxmlformats.org/drawingml/2006/chartDrawing">
    <cdr:from>
      <cdr:x>0.608</cdr:x>
      <cdr:y>0.803</cdr:y>
    </cdr:from>
    <cdr:to>
      <cdr:x>0.80925</cdr:x>
      <cdr:y>0.90325</cdr:y>
    </cdr:to>
    <cdr:sp>
      <cdr:nvSpPr>
        <cdr:cNvPr id="4" name="Text Box 5"/>
        <cdr:cNvSpPr txBox="1">
          <a:spLocks noChangeArrowheads="1"/>
        </cdr:cNvSpPr>
      </cdr:nvSpPr>
      <cdr:spPr>
        <a:xfrm>
          <a:off x="0" y="2000250"/>
          <a:ext cx="0" cy="247650"/>
        </a:xfrm>
        <a:prstGeom prst="rect">
          <a:avLst/>
        </a:prstGeom>
        <a:noFill/>
        <a:ln w="9525" cmpd="sng">
          <a:noFill/>
        </a:ln>
      </cdr:spPr>
      <cdr:txBody>
        <a:bodyPr vertOverflow="clip" wrap="square" lIns="27432" tIns="18288" rIns="27432" bIns="0"/>
        <a:p>
          <a:pPr algn="ctr">
            <a:defRPr/>
          </a:pPr>
          <a:r>
            <a:rPr lang="en-US" cap="none" sz="765" b="0" i="0" u="none" baseline="0">
              <a:solidFill>
                <a:srgbClr val="000000"/>
              </a:solidFill>
            </a:rPr>
            <a:t>Post1</a:t>
          </a:r>
        </a:p>
      </cdr:txBody>
    </cdr:sp>
  </cdr:relSizeAnchor>
  <cdr:relSizeAnchor xmlns:cdr="http://schemas.openxmlformats.org/drawingml/2006/chartDrawing">
    <cdr:from>
      <cdr:x>0.84</cdr:x>
      <cdr:y>0.803</cdr:y>
    </cdr:from>
    <cdr:to>
      <cdr:x>1</cdr:x>
      <cdr:y>0.90325</cdr:y>
    </cdr:to>
    <cdr:sp>
      <cdr:nvSpPr>
        <cdr:cNvPr id="5" name="Text Box 6"/>
        <cdr:cNvSpPr txBox="1">
          <a:spLocks noChangeArrowheads="1"/>
        </cdr:cNvSpPr>
      </cdr:nvSpPr>
      <cdr:spPr>
        <a:xfrm>
          <a:off x="0" y="2000250"/>
          <a:ext cx="0" cy="247650"/>
        </a:xfrm>
        <a:prstGeom prst="rect">
          <a:avLst/>
        </a:prstGeom>
        <a:noFill/>
        <a:ln w="9525" cmpd="sng">
          <a:noFill/>
        </a:ln>
      </cdr:spPr>
      <cdr:txBody>
        <a:bodyPr vertOverflow="clip" wrap="square" lIns="27432" tIns="18288" rIns="27432" bIns="0"/>
        <a:p>
          <a:pPr algn="ctr">
            <a:defRPr/>
          </a:pPr>
          <a:r>
            <a:rPr lang="en-US" cap="none" sz="765" b="0" i="0" u="none" baseline="0">
              <a:solidFill>
                <a:srgbClr val="000000"/>
              </a:solidFill>
            </a:rPr>
            <a:t>Post2</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647700</xdr:colOff>
      <xdr:row>126</xdr:row>
      <xdr:rowOff>0</xdr:rowOff>
    </xdr:from>
    <xdr:to>
      <xdr:col>33</xdr:col>
      <xdr:colOff>647700</xdr:colOff>
      <xdr:row>135</xdr:row>
      <xdr:rowOff>209550</xdr:rowOff>
    </xdr:to>
    <xdr:sp>
      <xdr:nvSpPr>
        <xdr:cNvPr id="1" name="Line 53"/>
        <xdr:cNvSpPr>
          <a:spLocks/>
        </xdr:cNvSpPr>
      </xdr:nvSpPr>
      <xdr:spPr>
        <a:xfrm>
          <a:off x="23288625" y="20983575"/>
          <a:ext cx="0" cy="16668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561975</xdr:colOff>
      <xdr:row>126</xdr:row>
      <xdr:rowOff>0</xdr:rowOff>
    </xdr:from>
    <xdr:to>
      <xdr:col>40</xdr:col>
      <xdr:colOff>561975</xdr:colOff>
      <xdr:row>135</xdr:row>
      <xdr:rowOff>209550</xdr:rowOff>
    </xdr:to>
    <xdr:sp>
      <xdr:nvSpPr>
        <xdr:cNvPr id="2" name="Line 54"/>
        <xdr:cNvSpPr>
          <a:spLocks/>
        </xdr:cNvSpPr>
      </xdr:nvSpPr>
      <xdr:spPr>
        <a:xfrm>
          <a:off x="27517725" y="20983575"/>
          <a:ext cx="0" cy="16668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0</xdr:colOff>
      <xdr:row>126</xdr:row>
      <xdr:rowOff>0</xdr:rowOff>
    </xdr:from>
    <xdr:to>
      <xdr:col>48</xdr:col>
      <xdr:colOff>0</xdr:colOff>
      <xdr:row>135</xdr:row>
      <xdr:rowOff>190500</xdr:rowOff>
    </xdr:to>
    <xdr:sp>
      <xdr:nvSpPr>
        <xdr:cNvPr id="3" name="Line 55"/>
        <xdr:cNvSpPr>
          <a:spLocks/>
        </xdr:cNvSpPr>
      </xdr:nvSpPr>
      <xdr:spPr>
        <a:xfrm>
          <a:off x="33832800" y="20983575"/>
          <a:ext cx="0" cy="164782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0</xdr:colOff>
      <xdr:row>126</xdr:row>
      <xdr:rowOff>0</xdr:rowOff>
    </xdr:from>
    <xdr:to>
      <xdr:col>48</xdr:col>
      <xdr:colOff>0</xdr:colOff>
      <xdr:row>135</xdr:row>
      <xdr:rowOff>180975</xdr:rowOff>
    </xdr:to>
    <xdr:sp>
      <xdr:nvSpPr>
        <xdr:cNvPr id="4" name="Line 56"/>
        <xdr:cNvSpPr>
          <a:spLocks/>
        </xdr:cNvSpPr>
      </xdr:nvSpPr>
      <xdr:spPr>
        <a:xfrm>
          <a:off x="33832800" y="20983575"/>
          <a:ext cx="0" cy="1638300"/>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0</xdr:colOff>
      <xdr:row>126</xdr:row>
      <xdr:rowOff>0</xdr:rowOff>
    </xdr:from>
    <xdr:to>
      <xdr:col>48</xdr:col>
      <xdr:colOff>0</xdr:colOff>
      <xdr:row>135</xdr:row>
      <xdr:rowOff>209550</xdr:rowOff>
    </xdr:to>
    <xdr:sp>
      <xdr:nvSpPr>
        <xdr:cNvPr id="5" name="Line 57"/>
        <xdr:cNvSpPr>
          <a:spLocks/>
        </xdr:cNvSpPr>
      </xdr:nvSpPr>
      <xdr:spPr>
        <a:xfrm>
          <a:off x="33832800" y="20983575"/>
          <a:ext cx="0" cy="16668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0</xdr:colOff>
      <xdr:row>126</xdr:row>
      <xdr:rowOff>0</xdr:rowOff>
    </xdr:from>
    <xdr:to>
      <xdr:col>48</xdr:col>
      <xdr:colOff>0</xdr:colOff>
      <xdr:row>135</xdr:row>
      <xdr:rowOff>180975</xdr:rowOff>
    </xdr:to>
    <xdr:sp>
      <xdr:nvSpPr>
        <xdr:cNvPr id="6" name="Line 58"/>
        <xdr:cNvSpPr>
          <a:spLocks/>
        </xdr:cNvSpPr>
      </xdr:nvSpPr>
      <xdr:spPr>
        <a:xfrm>
          <a:off x="33832800" y="20983575"/>
          <a:ext cx="0" cy="1638300"/>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38100</xdr:colOff>
      <xdr:row>92</xdr:row>
      <xdr:rowOff>114300</xdr:rowOff>
    </xdr:from>
    <xdr:to>
      <xdr:col>15</xdr:col>
      <xdr:colOff>2447925</xdr:colOff>
      <xdr:row>106</xdr:row>
      <xdr:rowOff>66675</xdr:rowOff>
    </xdr:to>
    <xdr:graphicFrame>
      <xdr:nvGraphicFramePr>
        <xdr:cNvPr id="7" name="Chart 121"/>
        <xdr:cNvGraphicFramePr/>
      </xdr:nvGraphicFramePr>
      <xdr:xfrm>
        <a:off x="8763000" y="15373350"/>
        <a:ext cx="2409825" cy="2219325"/>
      </xdr:xfrm>
      <a:graphic>
        <a:graphicData uri="http://schemas.openxmlformats.org/drawingml/2006/chart">
          <c:chart xmlns:c="http://schemas.openxmlformats.org/drawingml/2006/chart" r:id="rId1"/>
        </a:graphicData>
      </a:graphic>
    </xdr:graphicFrame>
    <xdr:clientData/>
  </xdr:twoCellAnchor>
  <xdr:twoCellAnchor>
    <xdr:from>
      <xdr:col>15</xdr:col>
      <xdr:colOff>38100</xdr:colOff>
      <xdr:row>106</xdr:row>
      <xdr:rowOff>142875</xdr:rowOff>
    </xdr:from>
    <xdr:to>
      <xdr:col>15</xdr:col>
      <xdr:colOff>2447925</xdr:colOff>
      <xdr:row>120</xdr:row>
      <xdr:rowOff>142875</xdr:rowOff>
    </xdr:to>
    <xdr:graphicFrame>
      <xdr:nvGraphicFramePr>
        <xdr:cNvPr id="8" name="Chart 126"/>
        <xdr:cNvGraphicFramePr/>
      </xdr:nvGraphicFramePr>
      <xdr:xfrm>
        <a:off x="8763000" y="17668875"/>
        <a:ext cx="2409825" cy="2266950"/>
      </xdr:xfrm>
      <a:graphic>
        <a:graphicData uri="http://schemas.openxmlformats.org/drawingml/2006/chart">
          <c:chart xmlns:c="http://schemas.openxmlformats.org/drawingml/2006/chart" r:id="rId2"/>
        </a:graphicData>
      </a:graphic>
    </xdr:graphicFrame>
    <xdr:clientData/>
  </xdr:twoCellAnchor>
  <xdr:twoCellAnchor>
    <xdr:from>
      <xdr:col>15</xdr:col>
      <xdr:colOff>38100</xdr:colOff>
      <xdr:row>121</xdr:row>
      <xdr:rowOff>123825</xdr:rowOff>
    </xdr:from>
    <xdr:to>
      <xdr:col>15</xdr:col>
      <xdr:colOff>2447925</xdr:colOff>
      <xdr:row>133</xdr:row>
      <xdr:rowOff>104775</xdr:rowOff>
    </xdr:to>
    <xdr:graphicFrame>
      <xdr:nvGraphicFramePr>
        <xdr:cNvPr id="9" name="Chart 127"/>
        <xdr:cNvGraphicFramePr/>
      </xdr:nvGraphicFramePr>
      <xdr:xfrm>
        <a:off x="8763000" y="20078700"/>
        <a:ext cx="2409825" cy="2143125"/>
      </xdr:xfrm>
      <a:graphic>
        <a:graphicData uri="http://schemas.openxmlformats.org/drawingml/2006/chart">
          <c:chart xmlns:c="http://schemas.openxmlformats.org/drawingml/2006/chart" r:id="rId3"/>
        </a:graphicData>
      </a:graphic>
    </xdr:graphicFrame>
    <xdr:clientData/>
  </xdr:twoCellAnchor>
  <xdr:twoCellAnchor>
    <xdr:from>
      <xdr:col>15</xdr:col>
      <xdr:colOff>28575</xdr:colOff>
      <xdr:row>134</xdr:row>
      <xdr:rowOff>85725</xdr:rowOff>
    </xdr:from>
    <xdr:to>
      <xdr:col>15</xdr:col>
      <xdr:colOff>2438400</xdr:colOff>
      <xdr:row>142</xdr:row>
      <xdr:rowOff>9525</xdr:rowOff>
    </xdr:to>
    <xdr:graphicFrame>
      <xdr:nvGraphicFramePr>
        <xdr:cNvPr id="10" name="Chart 128"/>
        <xdr:cNvGraphicFramePr/>
      </xdr:nvGraphicFramePr>
      <xdr:xfrm>
        <a:off x="8753475" y="22364700"/>
        <a:ext cx="2409825" cy="2381250"/>
      </xdr:xfrm>
      <a:graphic>
        <a:graphicData uri="http://schemas.openxmlformats.org/drawingml/2006/chart">
          <c:chart xmlns:c="http://schemas.openxmlformats.org/drawingml/2006/chart" r:id="rId4"/>
        </a:graphicData>
      </a:graphic>
    </xdr:graphicFrame>
    <xdr:clientData/>
  </xdr:twoCellAnchor>
  <xdr:twoCellAnchor>
    <xdr:from>
      <xdr:col>31</xdr:col>
      <xdr:colOff>38100</xdr:colOff>
      <xdr:row>92</xdr:row>
      <xdr:rowOff>142875</xdr:rowOff>
    </xdr:from>
    <xdr:to>
      <xdr:col>31</xdr:col>
      <xdr:colOff>2447925</xdr:colOff>
      <xdr:row>106</xdr:row>
      <xdr:rowOff>104775</xdr:rowOff>
    </xdr:to>
    <xdr:graphicFrame>
      <xdr:nvGraphicFramePr>
        <xdr:cNvPr id="11" name="Chart 129"/>
        <xdr:cNvGraphicFramePr/>
      </xdr:nvGraphicFramePr>
      <xdr:xfrm>
        <a:off x="19973925" y="15401925"/>
        <a:ext cx="2409825" cy="2228850"/>
      </xdr:xfrm>
      <a:graphic>
        <a:graphicData uri="http://schemas.openxmlformats.org/drawingml/2006/chart">
          <c:chart xmlns:c="http://schemas.openxmlformats.org/drawingml/2006/chart" r:id="rId5"/>
        </a:graphicData>
      </a:graphic>
    </xdr:graphicFrame>
    <xdr:clientData/>
  </xdr:twoCellAnchor>
  <xdr:twoCellAnchor>
    <xdr:from>
      <xdr:col>31</xdr:col>
      <xdr:colOff>38100</xdr:colOff>
      <xdr:row>107</xdr:row>
      <xdr:rowOff>28575</xdr:rowOff>
    </xdr:from>
    <xdr:to>
      <xdr:col>31</xdr:col>
      <xdr:colOff>2447925</xdr:colOff>
      <xdr:row>121</xdr:row>
      <xdr:rowOff>38100</xdr:rowOff>
    </xdr:to>
    <xdr:graphicFrame>
      <xdr:nvGraphicFramePr>
        <xdr:cNvPr id="12" name="Chart 130"/>
        <xdr:cNvGraphicFramePr/>
      </xdr:nvGraphicFramePr>
      <xdr:xfrm>
        <a:off x="19973925" y="17716500"/>
        <a:ext cx="2409825" cy="2276475"/>
      </xdr:xfrm>
      <a:graphic>
        <a:graphicData uri="http://schemas.openxmlformats.org/drawingml/2006/chart">
          <c:chart xmlns:c="http://schemas.openxmlformats.org/drawingml/2006/chart" r:id="rId6"/>
        </a:graphicData>
      </a:graphic>
    </xdr:graphicFrame>
    <xdr:clientData/>
  </xdr:twoCellAnchor>
  <xdr:twoCellAnchor>
    <xdr:from>
      <xdr:col>31</xdr:col>
      <xdr:colOff>38100</xdr:colOff>
      <xdr:row>122</xdr:row>
      <xdr:rowOff>0</xdr:rowOff>
    </xdr:from>
    <xdr:to>
      <xdr:col>31</xdr:col>
      <xdr:colOff>2447925</xdr:colOff>
      <xdr:row>135</xdr:row>
      <xdr:rowOff>104775</xdr:rowOff>
    </xdr:to>
    <xdr:graphicFrame>
      <xdr:nvGraphicFramePr>
        <xdr:cNvPr id="13" name="Chart 131"/>
        <xdr:cNvGraphicFramePr/>
      </xdr:nvGraphicFramePr>
      <xdr:xfrm>
        <a:off x="19973925" y="20116800"/>
        <a:ext cx="2409825" cy="2428875"/>
      </xdr:xfrm>
      <a:graphic>
        <a:graphicData uri="http://schemas.openxmlformats.org/drawingml/2006/chart">
          <c:chart xmlns:c="http://schemas.openxmlformats.org/drawingml/2006/chart" r:id="rId7"/>
        </a:graphicData>
      </a:graphic>
    </xdr:graphicFrame>
    <xdr:clientData/>
  </xdr:twoCellAnchor>
  <xdr:twoCellAnchor>
    <xdr:from>
      <xdr:col>31</xdr:col>
      <xdr:colOff>38100</xdr:colOff>
      <xdr:row>135</xdr:row>
      <xdr:rowOff>238125</xdr:rowOff>
    </xdr:from>
    <xdr:to>
      <xdr:col>31</xdr:col>
      <xdr:colOff>2447925</xdr:colOff>
      <xdr:row>143</xdr:row>
      <xdr:rowOff>142875</xdr:rowOff>
    </xdr:to>
    <xdr:graphicFrame>
      <xdr:nvGraphicFramePr>
        <xdr:cNvPr id="14" name="Chart 132"/>
        <xdr:cNvGraphicFramePr/>
      </xdr:nvGraphicFramePr>
      <xdr:xfrm>
        <a:off x="19973925" y="22679025"/>
        <a:ext cx="2409825" cy="2362200"/>
      </xdr:xfrm>
      <a:graphic>
        <a:graphicData uri="http://schemas.openxmlformats.org/drawingml/2006/chart">
          <c:chart xmlns:c="http://schemas.openxmlformats.org/drawingml/2006/chart" r:id="rId8"/>
        </a:graphicData>
      </a:graphic>
    </xdr:graphicFrame>
    <xdr:clientData/>
  </xdr:twoCellAnchor>
  <xdr:twoCellAnchor>
    <xdr:from>
      <xdr:col>47</xdr:col>
      <xdr:colOff>38100</xdr:colOff>
      <xdr:row>92</xdr:row>
      <xdr:rowOff>142875</xdr:rowOff>
    </xdr:from>
    <xdr:to>
      <xdr:col>47</xdr:col>
      <xdr:colOff>2447925</xdr:colOff>
      <xdr:row>106</xdr:row>
      <xdr:rowOff>104775</xdr:rowOff>
    </xdr:to>
    <xdr:graphicFrame>
      <xdr:nvGraphicFramePr>
        <xdr:cNvPr id="15" name="Chart 149"/>
        <xdr:cNvGraphicFramePr/>
      </xdr:nvGraphicFramePr>
      <xdr:xfrm>
        <a:off x="31394400" y="15401925"/>
        <a:ext cx="2409825" cy="2228850"/>
      </xdr:xfrm>
      <a:graphic>
        <a:graphicData uri="http://schemas.openxmlformats.org/drawingml/2006/chart">
          <c:chart xmlns:c="http://schemas.openxmlformats.org/drawingml/2006/chart" r:id="rId9"/>
        </a:graphicData>
      </a:graphic>
    </xdr:graphicFrame>
    <xdr:clientData/>
  </xdr:twoCellAnchor>
  <xdr:twoCellAnchor>
    <xdr:from>
      <xdr:col>47</xdr:col>
      <xdr:colOff>38100</xdr:colOff>
      <xdr:row>107</xdr:row>
      <xdr:rowOff>28575</xdr:rowOff>
    </xdr:from>
    <xdr:to>
      <xdr:col>47</xdr:col>
      <xdr:colOff>2447925</xdr:colOff>
      <xdr:row>121</xdr:row>
      <xdr:rowOff>38100</xdr:rowOff>
    </xdr:to>
    <xdr:graphicFrame>
      <xdr:nvGraphicFramePr>
        <xdr:cNvPr id="16" name="Chart 150"/>
        <xdr:cNvGraphicFramePr/>
      </xdr:nvGraphicFramePr>
      <xdr:xfrm>
        <a:off x="31394400" y="17716500"/>
        <a:ext cx="2409825" cy="2276475"/>
      </xdr:xfrm>
      <a:graphic>
        <a:graphicData uri="http://schemas.openxmlformats.org/drawingml/2006/chart">
          <c:chart xmlns:c="http://schemas.openxmlformats.org/drawingml/2006/chart" r:id="rId10"/>
        </a:graphicData>
      </a:graphic>
    </xdr:graphicFrame>
    <xdr:clientData/>
  </xdr:twoCellAnchor>
  <xdr:twoCellAnchor>
    <xdr:from>
      <xdr:col>47</xdr:col>
      <xdr:colOff>38100</xdr:colOff>
      <xdr:row>122</xdr:row>
      <xdr:rowOff>28575</xdr:rowOff>
    </xdr:from>
    <xdr:to>
      <xdr:col>47</xdr:col>
      <xdr:colOff>2447925</xdr:colOff>
      <xdr:row>135</xdr:row>
      <xdr:rowOff>0</xdr:rowOff>
    </xdr:to>
    <xdr:graphicFrame>
      <xdr:nvGraphicFramePr>
        <xdr:cNvPr id="17" name="Chart 151"/>
        <xdr:cNvGraphicFramePr/>
      </xdr:nvGraphicFramePr>
      <xdr:xfrm>
        <a:off x="31394400" y="20145375"/>
        <a:ext cx="2409825" cy="2295525"/>
      </xdr:xfrm>
      <a:graphic>
        <a:graphicData uri="http://schemas.openxmlformats.org/drawingml/2006/chart">
          <c:chart xmlns:c="http://schemas.openxmlformats.org/drawingml/2006/chart" r:id="rId11"/>
        </a:graphicData>
      </a:graphic>
    </xdr:graphicFrame>
    <xdr:clientData/>
  </xdr:twoCellAnchor>
  <xdr:twoCellAnchor>
    <xdr:from>
      <xdr:col>47</xdr:col>
      <xdr:colOff>38100</xdr:colOff>
      <xdr:row>135</xdr:row>
      <xdr:rowOff>95250</xdr:rowOff>
    </xdr:from>
    <xdr:to>
      <xdr:col>47</xdr:col>
      <xdr:colOff>2447925</xdr:colOff>
      <xdr:row>143</xdr:row>
      <xdr:rowOff>9525</xdr:rowOff>
    </xdr:to>
    <xdr:graphicFrame>
      <xdr:nvGraphicFramePr>
        <xdr:cNvPr id="18" name="Chart 152"/>
        <xdr:cNvGraphicFramePr/>
      </xdr:nvGraphicFramePr>
      <xdr:xfrm>
        <a:off x="31394400" y="22536150"/>
        <a:ext cx="2409825" cy="2371725"/>
      </xdr:xfrm>
      <a:graphic>
        <a:graphicData uri="http://schemas.openxmlformats.org/drawingml/2006/chart">
          <c:chart xmlns:c="http://schemas.openxmlformats.org/drawingml/2006/chart" r:id="rId12"/>
        </a:graphicData>
      </a:graphic>
    </xdr:graphicFrame>
    <xdr:clientData/>
  </xdr:twoCellAnchor>
  <xdr:twoCellAnchor>
    <xdr:from>
      <xdr:col>48</xdr:col>
      <xdr:colOff>0</xdr:colOff>
      <xdr:row>92</xdr:row>
      <xdr:rowOff>142875</xdr:rowOff>
    </xdr:from>
    <xdr:to>
      <xdr:col>48</xdr:col>
      <xdr:colOff>0</xdr:colOff>
      <xdr:row>106</xdr:row>
      <xdr:rowOff>104775</xdr:rowOff>
    </xdr:to>
    <xdr:graphicFrame>
      <xdr:nvGraphicFramePr>
        <xdr:cNvPr id="19" name="Chart 153"/>
        <xdr:cNvGraphicFramePr/>
      </xdr:nvGraphicFramePr>
      <xdr:xfrm>
        <a:off x="33832800" y="15401925"/>
        <a:ext cx="0" cy="2228850"/>
      </xdr:xfrm>
      <a:graphic>
        <a:graphicData uri="http://schemas.openxmlformats.org/drawingml/2006/chart">
          <c:chart xmlns:c="http://schemas.openxmlformats.org/drawingml/2006/chart" r:id="rId13"/>
        </a:graphicData>
      </a:graphic>
    </xdr:graphicFrame>
    <xdr:clientData/>
  </xdr:twoCellAnchor>
  <xdr:twoCellAnchor>
    <xdr:from>
      <xdr:col>48</xdr:col>
      <xdr:colOff>0</xdr:colOff>
      <xdr:row>107</xdr:row>
      <xdr:rowOff>28575</xdr:rowOff>
    </xdr:from>
    <xdr:to>
      <xdr:col>48</xdr:col>
      <xdr:colOff>0</xdr:colOff>
      <xdr:row>121</xdr:row>
      <xdr:rowOff>38100</xdr:rowOff>
    </xdr:to>
    <xdr:graphicFrame>
      <xdr:nvGraphicFramePr>
        <xdr:cNvPr id="20" name="Chart 154"/>
        <xdr:cNvGraphicFramePr/>
      </xdr:nvGraphicFramePr>
      <xdr:xfrm>
        <a:off x="33832800" y="17716500"/>
        <a:ext cx="0" cy="2276475"/>
      </xdr:xfrm>
      <a:graphic>
        <a:graphicData uri="http://schemas.openxmlformats.org/drawingml/2006/chart">
          <c:chart xmlns:c="http://schemas.openxmlformats.org/drawingml/2006/chart" r:id="rId14"/>
        </a:graphicData>
      </a:graphic>
    </xdr:graphicFrame>
    <xdr:clientData/>
  </xdr:twoCellAnchor>
  <xdr:twoCellAnchor>
    <xdr:from>
      <xdr:col>48</xdr:col>
      <xdr:colOff>0</xdr:colOff>
      <xdr:row>121</xdr:row>
      <xdr:rowOff>85725</xdr:rowOff>
    </xdr:from>
    <xdr:to>
      <xdr:col>48</xdr:col>
      <xdr:colOff>0</xdr:colOff>
      <xdr:row>135</xdr:row>
      <xdr:rowOff>361950</xdr:rowOff>
    </xdr:to>
    <xdr:graphicFrame>
      <xdr:nvGraphicFramePr>
        <xdr:cNvPr id="21" name="Chart 155"/>
        <xdr:cNvGraphicFramePr/>
      </xdr:nvGraphicFramePr>
      <xdr:xfrm>
        <a:off x="33832800" y="20040600"/>
        <a:ext cx="0" cy="2762250"/>
      </xdr:xfrm>
      <a:graphic>
        <a:graphicData uri="http://schemas.openxmlformats.org/drawingml/2006/chart">
          <c:chart xmlns:c="http://schemas.openxmlformats.org/drawingml/2006/chart" r:id="rId15"/>
        </a:graphicData>
      </a:graphic>
    </xdr:graphicFrame>
    <xdr:clientData/>
  </xdr:twoCellAnchor>
  <xdr:twoCellAnchor>
    <xdr:from>
      <xdr:col>48</xdr:col>
      <xdr:colOff>0</xdr:colOff>
      <xdr:row>136</xdr:row>
      <xdr:rowOff>28575</xdr:rowOff>
    </xdr:from>
    <xdr:to>
      <xdr:col>48</xdr:col>
      <xdr:colOff>0</xdr:colOff>
      <xdr:row>144</xdr:row>
      <xdr:rowOff>66675</xdr:rowOff>
    </xdr:to>
    <xdr:graphicFrame>
      <xdr:nvGraphicFramePr>
        <xdr:cNvPr id="22" name="Chart 156"/>
        <xdr:cNvGraphicFramePr/>
      </xdr:nvGraphicFramePr>
      <xdr:xfrm>
        <a:off x="33832800" y="22860000"/>
        <a:ext cx="0" cy="2533650"/>
      </xdr:xfrm>
      <a:graphic>
        <a:graphicData uri="http://schemas.openxmlformats.org/drawingml/2006/chart">
          <c:chart xmlns:c="http://schemas.openxmlformats.org/drawingml/2006/chart" r:id="rId16"/>
        </a:graphicData>
      </a:graphic>
    </xdr:graphicFrame>
    <xdr:clientData/>
  </xdr:twoCellAnchor>
  <xdr:twoCellAnchor>
    <xdr:from>
      <xdr:col>48</xdr:col>
      <xdr:colOff>0</xdr:colOff>
      <xdr:row>25</xdr:row>
      <xdr:rowOff>66675</xdr:rowOff>
    </xdr:from>
    <xdr:to>
      <xdr:col>48</xdr:col>
      <xdr:colOff>0</xdr:colOff>
      <xdr:row>49</xdr:row>
      <xdr:rowOff>57150</xdr:rowOff>
    </xdr:to>
    <xdr:graphicFrame>
      <xdr:nvGraphicFramePr>
        <xdr:cNvPr id="23" name="Chart 157"/>
        <xdr:cNvGraphicFramePr/>
      </xdr:nvGraphicFramePr>
      <xdr:xfrm>
        <a:off x="33832800" y="3943350"/>
        <a:ext cx="0" cy="4238625"/>
      </xdr:xfrm>
      <a:graphic>
        <a:graphicData uri="http://schemas.openxmlformats.org/drawingml/2006/chart">
          <c:chart xmlns:c="http://schemas.openxmlformats.org/drawingml/2006/chart" r:id="rId17"/>
        </a:graphicData>
      </a:graphic>
    </xdr:graphicFrame>
    <xdr:clientData/>
  </xdr:twoCellAnchor>
  <xdr:twoCellAnchor>
    <xdr:from>
      <xdr:col>48</xdr:col>
      <xdr:colOff>0</xdr:colOff>
      <xdr:row>49</xdr:row>
      <xdr:rowOff>142875</xdr:rowOff>
    </xdr:from>
    <xdr:to>
      <xdr:col>48</xdr:col>
      <xdr:colOff>0</xdr:colOff>
      <xdr:row>63</xdr:row>
      <xdr:rowOff>66675</xdr:rowOff>
    </xdr:to>
    <xdr:graphicFrame>
      <xdr:nvGraphicFramePr>
        <xdr:cNvPr id="24" name="Chart 158"/>
        <xdr:cNvGraphicFramePr/>
      </xdr:nvGraphicFramePr>
      <xdr:xfrm>
        <a:off x="33832800" y="8267700"/>
        <a:ext cx="0" cy="2190750"/>
      </xdr:xfrm>
      <a:graphic>
        <a:graphicData uri="http://schemas.openxmlformats.org/drawingml/2006/chart">
          <c:chart xmlns:c="http://schemas.openxmlformats.org/drawingml/2006/chart" r:id="rId18"/>
        </a:graphicData>
      </a:graphic>
    </xdr:graphicFrame>
    <xdr:clientData/>
  </xdr:twoCellAnchor>
  <xdr:twoCellAnchor>
    <xdr:from>
      <xdr:col>48</xdr:col>
      <xdr:colOff>0</xdr:colOff>
      <xdr:row>63</xdr:row>
      <xdr:rowOff>114300</xdr:rowOff>
    </xdr:from>
    <xdr:to>
      <xdr:col>48</xdr:col>
      <xdr:colOff>0</xdr:colOff>
      <xdr:row>78</xdr:row>
      <xdr:rowOff>28575</xdr:rowOff>
    </xdr:to>
    <xdr:graphicFrame>
      <xdr:nvGraphicFramePr>
        <xdr:cNvPr id="25" name="Chart 159"/>
        <xdr:cNvGraphicFramePr/>
      </xdr:nvGraphicFramePr>
      <xdr:xfrm>
        <a:off x="33832800" y="10506075"/>
        <a:ext cx="0" cy="2514600"/>
      </xdr:xfrm>
      <a:graphic>
        <a:graphicData uri="http://schemas.openxmlformats.org/drawingml/2006/chart">
          <c:chart xmlns:c="http://schemas.openxmlformats.org/drawingml/2006/chart" r:id="rId19"/>
        </a:graphicData>
      </a:graphic>
    </xdr:graphicFrame>
    <xdr:clientData/>
  </xdr:twoCellAnchor>
  <xdr:twoCellAnchor>
    <xdr:from>
      <xdr:col>48</xdr:col>
      <xdr:colOff>0</xdr:colOff>
      <xdr:row>78</xdr:row>
      <xdr:rowOff>85725</xdr:rowOff>
    </xdr:from>
    <xdr:to>
      <xdr:col>48</xdr:col>
      <xdr:colOff>0</xdr:colOff>
      <xdr:row>92</xdr:row>
      <xdr:rowOff>0</xdr:rowOff>
    </xdr:to>
    <xdr:graphicFrame>
      <xdr:nvGraphicFramePr>
        <xdr:cNvPr id="26" name="Chart 160"/>
        <xdr:cNvGraphicFramePr/>
      </xdr:nvGraphicFramePr>
      <xdr:xfrm>
        <a:off x="33832800" y="13077825"/>
        <a:ext cx="0" cy="2181225"/>
      </xdr:xfrm>
      <a:graphic>
        <a:graphicData uri="http://schemas.openxmlformats.org/drawingml/2006/chart">
          <c:chart xmlns:c="http://schemas.openxmlformats.org/drawingml/2006/chart" r:id="rId20"/>
        </a:graphicData>
      </a:graphic>
    </xdr:graphicFrame>
    <xdr:clientData/>
  </xdr:twoCellAnchor>
  <xdr:twoCellAnchor>
    <xdr:from>
      <xdr:col>1</xdr:col>
      <xdr:colOff>647700</xdr:colOff>
      <xdr:row>151</xdr:row>
      <xdr:rowOff>0</xdr:rowOff>
    </xdr:from>
    <xdr:to>
      <xdr:col>1</xdr:col>
      <xdr:colOff>647700</xdr:colOff>
      <xdr:row>160</xdr:row>
      <xdr:rowOff>209550</xdr:rowOff>
    </xdr:to>
    <xdr:sp>
      <xdr:nvSpPr>
        <xdr:cNvPr id="27" name="Line 235"/>
        <xdr:cNvSpPr>
          <a:spLocks/>
        </xdr:cNvSpPr>
      </xdr:nvSpPr>
      <xdr:spPr>
        <a:xfrm>
          <a:off x="876300" y="26679525"/>
          <a:ext cx="0" cy="1695450"/>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561975</xdr:colOff>
      <xdr:row>151</xdr:row>
      <xdr:rowOff>0</xdr:rowOff>
    </xdr:from>
    <xdr:to>
      <xdr:col>8</xdr:col>
      <xdr:colOff>561975</xdr:colOff>
      <xdr:row>160</xdr:row>
      <xdr:rowOff>209550</xdr:rowOff>
    </xdr:to>
    <xdr:sp>
      <xdr:nvSpPr>
        <xdr:cNvPr id="28" name="Line 236"/>
        <xdr:cNvSpPr>
          <a:spLocks/>
        </xdr:cNvSpPr>
      </xdr:nvSpPr>
      <xdr:spPr>
        <a:xfrm>
          <a:off x="5067300" y="26679525"/>
          <a:ext cx="0" cy="1695450"/>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151</xdr:row>
      <xdr:rowOff>0</xdr:rowOff>
    </xdr:from>
    <xdr:to>
      <xdr:col>1</xdr:col>
      <xdr:colOff>647700</xdr:colOff>
      <xdr:row>160</xdr:row>
      <xdr:rowOff>209550</xdr:rowOff>
    </xdr:to>
    <xdr:sp>
      <xdr:nvSpPr>
        <xdr:cNvPr id="29" name="Line 320"/>
        <xdr:cNvSpPr>
          <a:spLocks/>
        </xdr:cNvSpPr>
      </xdr:nvSpPr>
      <xdr:spPr>
        <a:xfrm>
          <a:off x="876300" y="26679525"/>
          <a:ext cx="0" cy="1695450"/>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561975</xdr:colOff>
      <xdr:row>151</xdr:row>
      <xdr:rowOff>0</xdr:rowOff>
    </xdr:from>
    <xdr:to>
      <xdr:col>8</xdr:col>
      <xdr:colOff>561975</xdr:colOff>
      <xdr:row>160</xdr:row>
      <xdr:rowOff>209550</xdr:rowOff>
    </xdr:to>
    <xdr:sp>
      <xdr:nvSpPr>
        <xdr:cNvPr id="30" name="Line 321"/>
        <xdr:cNvSpPr>
          <a:spLocks/>
        </xdr:cNvSpPr>
      </xdr:nvSpPr>
      <xdr:spPr>
        <a:xfrm>
          <a:off x="5067300" y="26679525"/>
          <a:ext cx="0" cy="1695450"/>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28575</xdr:colOff>
      <xdr:row>8</xdr:row>
      <xdr:rowOff>28575</xdr:rowOff>
    </xdr:from>
    <xdr:to>
      <xdr:col>15</xdr:col>
      <xdr:colOff>2447925</xdr:colOff>
      <xdr:row>24</xdr:row>
      <xdr:rowOff>66675</xdr:rowOff>
    </xdr:to>
    <xdr:graphicFrame>
      <xdr:nvGraphicFramePr>
        <xdr:cNvPr id="31" name="Chart 931"/>
        <xdr:cNvGraphicFramePr/>
      </xdr:nvGraphicFramePr>
      <xdr:xfrm>
        <a:off x="8753475" y="1285875"/>
        <a:ext cx="2419350" cy="2495550"/>
      </xdr:xfrm>
      <a:graphic>
        <a:graphicData uri="http://schemas.openxmlformats.org/drawingml/2006/chart">
          <c:chart xmlns:c="http://schemas.openxmlformats.org/drawingml/2006/chart" r:id="rId21"/>
        </a:graphicData>
      </a:graphic>
    </xdr:graphicFrame>
    <xdr:clientData/>
  </xdr:twoCellAnchor>
  <xdr:twoCellAnchor>
    <xdr:from>
      <xdr:col>16</xdr:col>
      <xdr:colOff>180975</xdr:colOff>
      <xdr:row>5</xdr:row>
      <xdr:rowOff>57150</xdr:rowOff>
    </xdr:from>
    <xdr:to>
      <xdr:col>18</xdr:col>
      <xdr:colOff>600075</xdr:colOff>
      <xdr:row>10</xdr:row>
      <xdr:rowOff>104775</xdr:rowOff>
    </xdr:to>
    <xdr:sp>
      <xdr:nvSpPr>
        <xdr:cNvPr id="32" name="Line 934"/>
        <xdr:cNvSpPr>
          <a:spLocks/>
        </xdr:cNvSpPr>
      </xdr:nvSpPr>
      <xdr:spPr>
        <a:xfrm flipV="1">
          <a:off x="11382375" y="857250"/>
          <a:ext cx="1562100" cy="809625"/>
        </a:xfrm>
        <a:prstGeom prst="line">
          <a:avLst/>
        </a:prstGeom>
        <a:noFill/>
        <a:ln w="57150" cmpd="sng">
          <a:solidFill>
            <a:srgbClr val="C0C0C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219075</xdr:colOff>
      <xdr:row>17</xdr:row>
      <xdr:rowOff>38100</xdr:rowOff>
    </xdr:from>
    <xdr:to>
      <xdr:col>30</xdr:col>
      <xdr:colOff>371475</xdr:colOff>
      <xdr:row>17</xdr:row>
      <xdr:rowOff>38100</xdr:rowOff>
    </xdr:to>
    <xdr:sp>
      <xdr:nvSpPr>
        <xdr:cNvPr id="33" name="Line 935"/>
        <xdr:cNvSpPr>
          <a:spLocks/>
        </xdr:cNvSpPr>
      </xdr:nvSpPr>
      <xdr:spPr>
        <a:xfrm flipV="1">
          <a:off x="15887700" y="2667000"/>
          <a:ext cx="3924300" cy="0"/>
        </a:xfrm>
        <a:prstGeom prst="line">
          <a:avLst/>
        </a:prstGeom>
        <a:noFill/>
        <a:ln w="57150" cmpd="sng">
          <a:solidFill>
            <a:srgbClr val="C0C0C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38100</xdr:colOff>
      <xdr:row>8</xdr:row>
      <xdr:rowOff>28575</xdr:rowOff>
    </xdr:from>
    <xdr:to>
      <xdr:col>31</xdr:col>
      <xdr:colOff>2457450</xdr:colOff>
      <xdr:row>24</xdr:row>
      <xdr:rowOff>66675</xdr:rowOff>
    </xdr:to>
    <xdr:graphicFrame>
      <xdr:nvGraphicFramePr>
        <xdr:cNvPr id="34" name="Chart 937"/>
        <xdr:cNvGraphicFramePr/>
      </xdr:nvGraphicFramePr>
      <xdr:xfrm>
        <a:off x="19973925" y="1285875"/>
        <a:ext cx="2419350" cy="2495550"/>
      </xdr:xfrm>
      <a:graphic>
        <a:graphicData uri="http://schemas.openxmlformats.org/drawingml/2006/chart">
          <c:chart xmlns:c="http://schemas.openxmlformats.org/drawingml/2006/chart" r:id="rId22"/>
        </a:graphicData>
      </a:graphic>
    </xdr:graphicFrame>
    <xdr:clientData/>
  </xdr:twoCellAnchor>
  <xdr:twoCellAnchor>
    <xdr:from>
      <xdr:col>47</xdr:col>
      <xdr:colOff>38100</xdr:colOff>
      <xdr:row>8</xdr:row>
      <xdr:rowOff>57150</xdr:rowOff>
    </xdr:from>
    <xdr:to>
      <xdr:col>47</xdr:col>
      <xdr:colOff>2457450</xdr:colOff>
      <xdr:row>24</xdr:row>
      <xdr:rowOff>95250</xdr:rowOff>
    </xdr:to>
    <xdr:graphicFrame>
      <xdr:nvGraphicFramePr>
        <xdr:cNvPr id="35" name="Chart 938"/>
        <xdr:cNvGraphicFramePr/>
      </xdr:nvGraphicFramePr>
      <xdr:xfrm>
        <a:off x="31394400" y="1314450"/>
        <a:ext cx="2419350" cy="2495550"/>
      </xdr:xfrm>
      <a:graphic>
        <a:graphicData uri="http://schemas.openxmlformats.org/drawingml/2006/chart">
          <c:chart xmlns:c="http://schemas.openxmlformats.org/drawingml/2006/chart" r:id="rId23"/>
        </a:graphicData>
      </a:graphic>
    </xdr:graphicFrame>
    <xdr:clientData/>
  </xdr:twoCellAnchor>
  <xdr:twoCellAnchor>
    <xdr:from>
      <xdr:col>48</xdr:col>
      <xdr:colOff>0</xdr:colOff>
      <xdr:row>8</xdr:row>
      <xdr:rowOff>76200</xdr:rowOff>
    </xdr:from>
    <xdr:to>
      <xdr:col>48</xdr:col>
      <xdr:colOff>0</xdr:colOff>
      <xdr:row>24</xdr:row>
      <xdr:rowOff>114300</xdr:rowOff>
    </xdr:to>
    <xdr:graphicFrame>
      <xdr:nvGraphicFramePr>
        <xdr:cNvPr id="36" name="Chart 939"/>
        <xdr:cNvGraphicFramePr/>
      </xdr:nvGraphicFramePr>
      <xdr:xfrm>
        <a:off x="33832800" y="1333500"/>
        <a:ext cx="0" cy="2495550"/>
      </xdr:xfrm>
      <a:graphic>
        <a:graphicData uri="http://schemas.openxmlformats.org/drawingml/2006/chart">
          <c:chart xmlns:c="http://schemas.openxmlformats.org/drawingml/2006/chart" r:id="rId24"/>
        </a:graphicData>
      </a:graphic>
    </xdr:graphicFrame>
    <xdr:clientData/>
  </xdr:twoCellAnchor>
  <xdr:twoCellAnchor>
    <xdr:from>
      <xdr:col>48</xdr:col>
      <xdr:colOff>0</xdr:colOff>
      <xdr:row>8</xdr:row>
      <xdr:rowOff>76200</xdr:rowOff>
    </xdr:from>
    <xdr:to>
      <xdr:col>48</xdr:col>
      <xdr:colOff>0</xdr:colOff>
      <xdr:row>24</xdr:row>
      <xdr:rowOff>114300</xdr:rowOff>
    </xdr:to>
    <xdr:graphicFrame>
      <xdr:nvGraphicFramePr>
        <xdr:cNvPr id="37" name="Chart 940"/>
        <xdr:cNvGraphicFramePr/>
      </xdr:nvGraphicFramePr>
      <xdr:xfrm>
        <a:off x="33832800" y="1333500"/>
        <a:ext cx="0" cy="2495550"/>
      </xdr:xfrm>
      <a:graphic>
        <a:graphicData uri="http://schemas.openxmlformats.org/drawingml/2006/chart">
          <c:chart xmlns:c="http://schemas.openxmlformats.org/drawingml/2006/chart" r:id="rId25"/>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0.106</cdr:x>
      <cdr:y>-0.004</cdr:y>
    </cdr:from>
    <cdr:to>
      <cdr:x>0.49075</cdr:x>
      <cdr:y>0.15725</cdr:y>
    </cdr:to>
    <cdr:sp>
      <cdr:nvSpPr>
        <cdr:cNvPr id="1" name="Text Box 2"/>
        <cdr:cNvSpPr txBox="1">
          <a:spLocks noChangeArrowheads="1"/>
        </cdr:cNvSpPr>
      </cdr:nvSpPr>
      <cdr:spPr>
        <a:xfrm>
          <a:off x="247650" y="0"/>
          <a:ext cx="923925" cy="342900"/>
        </a:xfrm>
        <a:prstGeom prst="rect">
          <a:avLst/>
        </a:prstGeom>
        <a:noFill/>
        <a:ln w="9525" cmpd="sng">
          <a:noFill/>
        </a:ln>
      </cdr:spPr>
      <cdr:txBody>
        <a:bodyPr vertOverflow="clip" wrap="square" lIns="27432" tIns="18288" rIns="0" bIns="0"/>
        <a:p>
          <a:pPr algn="l">
            <a:defRPr/>
          </a:pPr>
          <a:r>
            <a:rPr lang="en-US" cap="none" sz="765" b="0" i="0" u="none" baseline="0">
              <a:solidFill>
                <a:srgbClr val="000000"/>
              </a:solidFill>
            </a:rPr>
            <a:t>Raw Data</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0.053</cdr:x>
      <cdr:y>0</cdr:y>
    </cdr:from>
    <cdr:to>
      <cdr:x>0.49425</cdr:x>
      <cdr:y>0.2085</cdr:y>
    </cdr:to>
    <cdr:sp>
      <cdr:nvSpPr>
        <cdr:cNvPr id="1" name="Text Box 2"/>
        <cdr:cNvSpPr txBox="1">
          <a:spLocks noChangeArrowheads="1"/>
        </cdr:cNvSpPr>
      </cdr:nvSpPr>
      <cdr:spPr>
        <a:xfrm>
          <a:off x="123825" y="0"/>
          <a:ext cx="1066800" cy="495300"/>
        </a:xfrm>
        <a:prstGeom prst="rect">
          <a:avLst/>
        </a:prstGeom>
        <a:noFill/>
        <a:ln w="9525" cmpd="sng">
          <a:noFill/>
        </a:ln>
      </cdr:spPr>
      <cdr:txBody>
        <a:bodyPr vertOverflow="clip" wrap="square" lIns="27432" tIns="18288" rIns="0" bIns="0"/>
        <a:p>
          <a:pPr algn="l">
            <a:defRPr/>
          </a:pPr>
          <a:r>
            <a:rPr lang="en-US" cap="none" sz="765" b="0" i="0" u="none" baseline="0">
              <a:solidFill>
                <a:srgbClr val="000000"/>
              </a:solidFill>
            </a:rPr>
            <a:t>Raw Data</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0.06225</cdr:x>
      <cdr:y>-0.0005</cdr:y>
    </cdr:from>
    <cdr:to>
      <cdr:x>0.5595</cdr:x>
      <cdr:y>0.15225</cdr:y>
    </cdr:to>
    <cdr:sp>
      <cdr:nvSpPr>
        <cdr:cNvPr id="1" name="Text Box 2"/>
        <cdr:cNvSpPr txBox="1">
          <a:spLocks noChangeArrowheads="1"/>
        </cdr:cNvSpPr>
      </cdr:nvSpPr>
      <cdr:spPr>
        <a:xfrm>
          <a:off x="142875" y="0"/>
          <a:ext cx="1200150" cy="342900"/>
        </a:xfrm>
        <a:prstGeom prst="rect">
          <a:avLst/>
        </a:prstGeom>
        <a:noFill/>
        <a:ln w="9525" cmpd="sng">
          <a:noFill/>
        </a:ln>
      </cdr:spPr>
      <cdr:txBody>
        <a:bodyPr vertOverflow="clip" wrap="square" lIns="27432" tIns="18288" rIns="0" bIns="0"/>
        <a:p>
          <a:pPr algn="l">
            <a:defRPr/>
          </a:pPr>
          <a:r>
            <a:rPr lang="en-US" cap="none" sz="765" b="0" i="0" u="none" baseline="0">
              <a:solidFill>
                <a:srgbClr val="000000"/>
              </a:solidFill>
            </a:rPr>
            <a:t>Log-transformed</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cdr:y>
    </cdr:from>
    <cdr:to>
      <cdr:x>0.5055</cdr:x>
      <cdr:y>0.1515</cdr:y>
    </cdr:to>
    <cdr:sp>
      <cdr:nvSpPr>
        <cdr:cNvPr id="1" name="Text Box 1026"/>
        <cdr:cNvSpPr txBox="1">
          <a:spLocks noChangeArrowheads="1"/>
        </cdr:cNvSpPr>
      </cdr:nvSpPr>
      <cdr:spPr>
        <a:xfrm>
          <a:off x="0" y="0"/>
          <a:ext cx="1219200" cy="342900"/>
        </a:xfrm>
        <a:prstGeom prst="rect">
          <a:avLst/>
        </a:prstGeom>
        <a:noFill/>
        <a:ln w="9525" cmpd="sng">
          <a:noFill/>
        </a:ln>
      </cdr:spPr>
      <cdr:txBody>
        <a:bodyPr vertOverflow="clip" wrap="square" lIns="27432" tIns="18288" rIns="0" bIns="0"/>
        <a:p>
          <a:pPr algn="l">
            <a:defRPr/>
          </a:pPr>
          <a:r>
            <a:rPr lang="en-US" cap="none" sz="765" b="0" i="0" u="none" baseline="0">
              <a:solidFill>
                <a:srgbClr val="000000"/>
              </a:solidFill>
            </a:rPr>
            <a:t>Log-transformed</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-0.0025</cdr:y>
    </cdr:from>
    <cdr:to>
      <cdr:x>0.5545</cdr:x>
      <cdr:y>0.094</cdr:y>
    </cdr:to>
    <cdr:sp>
      <cdr:nvSpPr>
        <cdr:cNvPr id="1" name="Text Box 1026"/>
        <cdr:cNvSpPr txBox="1">
          <a:spLocks noChangeArrowheads="1"/>
        </cdr:cNvSpPr>
      </cdr:nvSpPr>
      <cdr:spPr>
        <a:xfrm>
          <a:off x="0" y="0"/>
          <a:ext cx="1343025" cy="238125"/>
        </a:xfrm>
        <a:prstGeom prst="rect">
          <a:avLst/>
        </a:prstGeom>
        <a:noFill/>
        <a:ln w="9525" cmpd="sng">
          <a:noFill/>
        </a:ln>
      </cdr:spPr>
      <cdr:txBody>
        <a:bodyPr vertOverflow="clip" wrap="square" lIns="27432" tIns="18288" rIns="0" bIns="0"/>
        <a:p>
          <a:pPr algn="l">
            <a:defRPr/>
          </a:pPr>
          <a:r>
            <a:rPr lang="en-US" cap="none" sz="765" b="0" i="0" u="none" baseline="0">
              <a:solidFill>
                <a:srgbClr val="000000"/>
              </a:solidFill>
            </a:rPr>
            <a:t>Log-transformed</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cdr:y>
    </cdr:from>
    <cdr:to>
      <cdr:x>0.52775</cdr:x>
      <cdr:y>0.11125</cdr:y>
    </cdr:to>
    <cdr:sp>
      <cdr:nvSpPr>
        <cdr:cNvPr id="1" name="Text Box 1026"/>
        <cdr:cNvSpPr txBox="1">
          <a:spLocks noChangeArrowheads="1"/>
        </cdr:cNvSpPr>
      </cdr:nvSpPr>
      <cdr:spPr>
        <a:xfrm>
          <a:off x="0" y="0"/>
          <a:ext cx="1276350" cy="266700"/>
        </a:xfrm>
        <a:prstGeom prst="rect">
          <a:avLst/>
        </a:prstGeom>
        <a:noFill/>
        <a:ln w="9525" cmpd="sng">
          <a:noFill/>
        </a:ln>
      </cdr:spPr>
      <cdr:txBody>
        <a:bodyPr vertOverflow="clip" wrap="square" lIns="27432" tIns="18288" rIns="0" bIns="0"/>
        <a:p>
          <a:pPr algn="l">
            <a:defRPr/>
          </a:pPr>
          <a:r>
            <a:rPr lang="en-US" cap="none" sz="765" b="0" i="0" u="none" baseline="0">
              <a:solidFill>
                <a:srgbClr val="000000"/>
              </a:solidFill>
            </a:rPr>
            <a:t>Log-transformed</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cdr:x>
      <cdr:y>0</cdr:y>
    </cdr:from>
    <cdr:to>
      <cdr:x>0.643</cdr:x>
      <cdr:y>0.11225</cdr:y>
    </cdr:to>
    <cdr:sp>
      <cdr:nvSpPr>
        <cdr:cNvPr id="1" name="Text Box 1026"/>
        <cdr:cNvSpPr txBox="1">
          <a:spLocks noChangeArrowheads="1"/>
        </cdr:cNvSpPr>
      </cdr:nvSpPr>
      <cdr:spPr>
        <a:xfrm>
          <a:off x="57150" y="0"/>
          <a:ext cx="1495425" cy="247650"/>
        </a:xfrm>
        <a:prstGeom prst="rect">
          <a:avLst/>
        </a:prstGeom>
        <a:noFill/>
        <a:ln w="9525" cmpd="sng">
          <a:noFill/>
        </a:ln>
      </cdr:spPr>
      <cdr:txBody>
        <a:bodyPr vertOverflow="clip" wrap="square" lIns="27432" tIns="18288" rIns="0" bIns="0"/>
        <a:p>
          <a:pPr algn="l">
            <a:defRPr/>
          </a:pPr>
          <a:r>
            <a:rPr lang="en-US" cap="none" sz="765" b="0" i="0" u="none" baseline="0">
              <a:solidFill>
                <a:srgbClr val="000000"/>
              </a:solidFill>
            </a:rPr>
            <a:t>Percentile-transformed</a:t>
          </a:r>
        </a:p>
      </cdr:txBody>
    </cdr:sp>
  </cdr:relSizeAnchor>
</c:userShapes>
</file>

<file path=xl/theme/theme1.xml><?xml version="1.0" encoding="utf-8"?>
<a:theme xmlns:a="http://schemas.openxmlformats.org/drawingml/2006/main" name="Office Theme">
  <a:themeElements>
    <a:clrScheme name="Primaries">
      <a:dk1>
        <a:sysClr val="windowText" lastClr="000000"/>
      </a:dk1>
      <a:lt1>
        <a:sysClr val="window" lastClr="FFFFFF"/>
      </a:lt1>
      <a:dk2>
        <a:srgbClr val="1F497D"/>
      </a:dk2>
      <a:lt2>
        <a:srgbClr val="EEECE1"/>
      </a:lt2>
      <a:accent1>
        <a:srgbClr val="FF0000"/>
      </a:accent1>
      <a:accent2>
        <a:srgbClr val="FFC000"/>
      </a:accent2>
      <a:accent3>
        <a:srgbClr val="FFFF00"/>
      </a:accent3>
      <a:accent4>
        <a:srgbClr val="92D050"/>
      </a:accent4>
      <a:accent5>
        <a:srgbClr val="0070C0"/>
      </a:accent5>
      <a:accent6>
        <a:srgbClr val="7030A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6.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260"/>
  <sheetViews>
    <sheetView tabSelected="1" zoomScale="85" zoomScaleNormal="85" zoomScalePageLayoutView="0" workbookViewId="0" topLeftCell="A1">
      <selection activeCell="B1" sqref="B1"/>
    </sheetView>
  </sheetViews>
  <sheetFormatPr defaultColWidth="9.140625" defaultRowHeight="12.75"/>
  <cols>
    <col min="1" max="1" width="3.421875" style="0" customWidth="1"/>
    <col min="2" max="2" width="13.7109375" style="0" customWidth="1"/>
    <col min="3" max="3" width="13.28125" style="0" customWidth="1"/>
    <col min="4" max="8" width="7.421875" style="0" customWidth="1"/>
    <col min="9" max="9" width="13.28125" style="0" customWidth="1"/>
    <col min="10" max="10" width="12.8515625" style="0" customWidth="1"/>
    <col min="11" max="15" width="7.421875" style="0" customWidth="1"/>
    <col min="16" max="16" width="37.140625" style="0" customWidth="1"/>
    <col min="17" max="17" width="3.421875" style="0" customWidth="1"/>
    <col min="18" max="18" width="13.7109375" style="0" customWidth="1"/>
    <col min="19" max="19" width="12.7109375" style="0" customWidth="1"/>
    <col min="20" max="24" width="7.421875" style="0" customWidth="1"/>
    <col min="25" max="25" width="13.7109375" style="0" customWidth="1"/>
    <col min="26" max="26" width="13.140625" style="0" customWidth="1"/>
    <col min="27" max="31" width="7.421875" style="0" customWidth="1"/>
    <col min="32" max="32" width="37.140625" style="0" customWidth="1"/>
    <col min="33" max="33" width="3.421875" style="0" customWidth="1"/>
    <col min="34" max="34" width="13.7109375" style="0" customWidth="1"/>
    <col min="35" max="35" width="13.8515625" style="0" customWidth="1"/>
    <col min="36" max="40" width="7.421875" style="0" customWidth="1"/>
    <col min="41" max="41" width="15.00390625" style="0" customWidth="1"/>
    <col min="42" max="42" width="13.8515625" style="0" customWidth="1"/>
    <col min="43" max="47" width="7.421875" style="0" customWidth="1"/>
    <col min="48" max="48" width="37.140625" style="0" customWidth="1"/>
  </cols>
  <sheetData>
    <row r="1" s="51" customFormat="1" ht="15">
      <c r="B1" s="52" t="s">
        <v>202</v>
      </c>
    </row>
    <row r="2" spans="2:9" s="53" customFormat="1" ht="12" customHeight="1">
      <c r="B2" s="78" t="s">
        <v>228</v>
      </c>
      <c r="C2" s="78"/>
      <c r="F2" s="184" t="s">
        <v>229</v>
      </c>
      <c r="G2" s="365">
        <v>2013</v>
      </c>
      <c r="H2" s="365">
        <v>2012</v>
      </c>
      <c r="I2" s="365">
        <v>2011</v>
      </c>
    </row>
    <row r="3" s="53" customFormat="1" ht="12" customHeight="1">
      <c r="B3" s="53" t="s">
        <v>234</v>
      </c>
    </row>
    <row r="4" spans="2:24" s="53" customFormat="1" ht="12" customHeight="1">
      <c r="B4" s="55" t="s">
        <v>51</v>
      </c>
      <c r="T4" s="184" t="s">
        <v>166</v>
      </c>
      <c r="U4" s="115" t="str">
        <f>E41</f>
        <v>Pre1</v>
      </c>
      <c r="V4" s="115" t="str">
        <f>F41</f>
        <v>Pre2</v>
      </c>
      <c r="W4" s="115" t="str">
        <f>G41</f>
        <v>Post1</v>
      </c>
      <c r="X4" s="115" t="str">
        <f>H41</f>
        <v>Post2</v>
      </c>
    </row>
    <row r="5" spans="2:20" s="53" customFormat="1" ht="12" customHeight="1">
      <c r="B5" s="53" t="s">
        <v>127</v>
      </c>
      <c r="T5" s="53" t="str">
        <f>B42</f>
        <v>Control</v>
      </c>
    </row>
    <row r="6" spans="2:24" s="53" customFormat="1" ht="12" customHeight="1">
      <c r="B6" s="55" t="s">
        <v>65</v>
      </c>
      <c r="C6"/>
      <c r="D6"/>
      <c r="T6" s="184" t="s">
        <v>177</v>
      </c>
      <c r="U6" s="53">
        <v>0.95</v>
      </c>
      <c r="V6" s="53">
        <v>1.95</v>
      </c>
      <c r="W6" s="53">
        <v>2.95</v>
      </c>
      <c r="X6" s="53">
        <v>3.95</v>
      </c>
    </row>
    <row r="7" spans="2:24" s="53" customFormat="1" ht="12" customHeight="1">
      <c r="B7" s="55" t="s">
        <v>156</v>
      </c>
      <c r="C7"/>
      <c r="D7"/>
      <c r="T7" s="3" t="s">
        <v>167</v>
      </c>
      <c r="U7" s="102">
        <f aca="true" t="shared" si="0" ref="U7:X8">E62</f>
        <v>403.74313992986185</v>
      </c>
      <c r="V7" s="102">
        <f t="shared" si="0"/>
        <v>405.9736597224338</v>
      </c>
      <c r="W7" s="102">
        <f t="shared" si="0"/>
        <v>411.7545091353145</v>
      </c>
      <c r="X7" s="102">
        <f t="shared" si="0"/>
        <v>408.49950272585806</v>
      </c>
    </row>
    <row r="8" spans="2:24" s="53" customFormat="1" ht="12" customHeight="1">
      <c r="B8" s="53" t="s">
        <v>157</v>
      </c>
      <c r="C8"/>
      <c r="D8"/>
      <c r="T8" s="184" t="s">
        <v>168</v>
      </c>
      <c r="U8" s="279">
        <f t="shared" si="0"/>
        <v>21.911795113465768</v>
      </c>
      <c r="V8" s="279">
        <f t="shared" si="0"/>
        <v>21.096269939867266</v>
      </c>
      <c r="W8" s="279">
        <f t="shared" si="0"/>
        <v>22.655244592733524</v>
      </c>
      <c r="X8" s="279">
        <f t="shared" si="0"/>
        <v>23.922583581514715</v>
      </c>
    </row>
    <row r="9" spans="2:24" s="53" customFormat="1" ht="12" customHeight="1">
      <c r="B9" s="53" t="s">
        <v>72</v>
      </c>
      <c r="C9"/>
      <c r="D9"/>
      <c r="T9" s="184" t="s">
        <v>169</v>
      </c>
      <c r="U9" s="279">
        <f>E63</f>
        <v>21.911795113465768</v>
      </c>
      <c r="V9" s="279">
        <f>F63</f>
        <v>21.096269939867266</v>
      </c>
      <c r="W9" s="279">
        <f>G63</f>
        <v>22.655244592733524</v>
      </c>
      <c r="X9" s="279">
        <f>H63</f>
        <v>23.922583581514715</v>
      </c>
    </row>
    <row r="10" spans="2:20" s="53" customFormat="1" ht="12" customHeight="1">
      <c r="B10" t="s">
        <v>28</v>
      </c>
      <c r="C10"/>
      <c r="D10"/>
      <c r="T10" s="53" t="str">
        <f>B73</f>
        <v>Exptal</v>
      </c>
    </row>
    <row r="11" spans="2:24" s="53" customFormat="1" ht="12" customHeight="1">
      <c r="B11" s="78" t="s">
        <v>73</v>
      </c>
      <c r="C11"/>
      <c r="D11"/>
      <c r="T11" s="184" t="s">
        <v>177</v>
      </c>
      <c r="U11" s="53">
        <v>1.05</v>
      </c>
      <c r="V11" s="53">
        <v>2.05</v>
      </c>
      <c r="W11" s="53">
        <v>3.05</v>
      </c>
      <c r="X11" s="53">
        <v>4.05</v>
      </c>
    </row>
    <row r="12" spans="2:24" s="53" customFormat="1" ht="12" customHeight="1">
      <c r="B12" s="367" t="s">
        <v>184</v>
      </c>
      <c r="C12"/>
      <c r="D12"/>
      <c r="T12" s="3" t="s">
        <v>167</v>
      </c>
      <c r="U12" s="280">
        <f aca="true" t="shared" si="1" ref="U12:X13">E93</f>
        <v>389.45913670632297</v>
      </c>
      <c r="V12" s="280">
        <f t="shared" si="1"/>
        <v>397.8758021121921</v>
      </c>
      <c r="W12" s="280">
        <f t="shared" si="1"/>
        <v>410.5074598147251</v>
      </c>
      <c r="X12" s="280">
        <f t="shared" si="1"/>
        <v>404.4174147244427</v>
      </c>
    </row>
    <row r="13" spans="2:24" s="53" customFormat="1" ht="12" customHeight="1">
      <c r="B13" s="78" t="s">
        <v>133</v>
      </c>
      <c r="C13"/>
      <c r="D13"/>
      <c r="T13" s="184" t="s">
        <v>168</v>
      </c>
      <c r="U13" s="280">
        <f t="shared" si="1"/>
        <v>20.721381402404134</v>
      </c>
      <c r="V13" s="280">
        <f t="shared" si="1"/>
        <v>22.441585417311746</v>
      </c>
      <c r="W13" s="280">
        <f t="shared" si="1"/>
        <v>26.869218273256372</v>
      </c>
      <c r="X13" s="280">
        <f t="shared" si="1"/>
        <v>23.215835517433177</v>
      </c>
    </row>
    <row r="14" spans="2:24" s="53" customFormat="1" ht="12" customHeight="1">
      <c r="B14" s="53" t="s">
        <v>179</v>
      </c>
      <c r="T14" s="184" t="s">
        <v>169</v>
      </c>
      <c r="U14" s="280">
        <f>E94</f>
        <v>20.721381402404134</v>
      </c>
      <c r="V14" s="280">
        <f>F94</f>
        <v>22.441585417311746</v>
      </c>
      <c r="W14" s="280">
        <f>G94</f>
        <v>26.869218273256372</v>
      </c>
      <c r="X14" s="280">
        <f>H94</f>
        <v>23.215835517433177</v>
      </c>
    </row>
    <row r="15" spans="2:40" s="53" customFormat="1" ht="12" customHeight="1">
      <c r="B15" s="55" t="s">
        <v>158</v>
      </c>
      <c r="C15"/>
      <c r="D15"/>
      <c r="T15" s="184"/>
      <c r="U15" s="280"/>
      <c r="V15" s="280"/>
      <c r="W15" s="280"/>
      <c r="X15" s="280"/>
      <c r="AJ15" s="184" t="s">
        <v>166</v>
      </c>
      <c r="AK15" s="115" t="str">
        <f>AK41</f>
        <v>Pre1</v>
      </c>
      <c r="AL15" s="115" t="str">
        <f>AL41</f>
        <v>Pre2</v>
      </c>
      <c r="AM15" s="115" t="str">
        <f>AM41</f>
        <v>Post1</v>
      </c>
      <c r="AN15" s="115" t="str">
        <f>AN41</f>
        <v>Post2</v>
      </c>
    </row>
    <row r="16" spans="2:36" s="53" customFormat="1" ht="12" customHeight="1">
      <c r="B16" s="55" t="s">
        <v>132</v>
      </c>
      <c r="C16"/>
      <c r="D16"/>
      <c r="AJ16" s="53" t="str">
        <f>AH42</f>
        <v>Control</v>
      </c>
    </row>
    <row r="17" spans="2:40" ht="12" customHeight="1">
      <c r="B17" s="55" t="s">
        <v>134</v>
      </c>
      <c r="E17" s="53"/>
      <c r="F17" s="53"/>
      <c r="G17" s="53"/>
      <c r="H17" s="53"/>
      <c r="T17" s="184" t="s">
        <v>166</v>
      </c>
      <c r="U17" s="115" t="str">
        <f>U41</f>
        <v>Pre1</v>
      </c>
      <c r="V17" s="115" t="str">
        <f>V41</f>
        <v>Pre2</v>
      </c>
      <c r="W17" s="115" t="str">
        <f>W41</f>
        <v>Post1</v>
      </c>
      <c r="X17" s="115" t="str">
        <f>X41</f>
        <v>Post2</v>
      </c>
      <c r="AJ17" s="184" t="s">
        <v>177</v>
      </c>
      <c r="AK17" s="53">
        <v>0.95</v>
      </c>
      <c r="AL17" s="53">
        <v>1.95</v>
      </c>
      <c r="AM17" s="53">
        <v>2.95</v>
      </c>
      <c r="AN17" s="53">
        <v>3.95</v>
      </c>
    </row>
    <row r="18" spans="2:40" s="53" customFormat="1" ht="12" customHeight="1">
      <c r="B18" s="55" t="s">
        <v>74</v>
      </c>
      <c r="C18"/>
      <c r="D18"/>
      <c r="E18"/>
      <c r="F18"/>
      <c r="G18"/>
      <c r="H18"/>
      <c r="T18" s="53" t="str">
        <f>R42</f>
        <v>Control</v>
      </c>
      <c r="AJ18" s="3" t="s">
        <v>167</v>
      </c>
      <c r="AK18" s="1">
        <f>AK67</f>
        <v>405.3744432469969</v>
      </c>
      <c r="AL18" s="1">
        <f>AL67</f>
        <v>406.8127486332513</v>
      </c>
      <c r="AM18" s="1">
        <f>AM67</f>
        <v>411.81483234974235</v>
      </c>
      <c r="AN18" s="1">
        <f>AN67</f>
        <v>408.9104357588353</v>
      </c>
    </row>
    <row r="19" spans="2:40" s="53" customFormat="1" ht="12" customHeight="1">
      <c r="B19" s="55" t="s">
        <v>135</v>
      </c>
      <c r="C19"/>
      <c r="D19"/>
      <c r="H19" s="254"/>
      <c r="T19" s="184" t="s">
        <v>177</v>
      </c>
      <c r="U19" s="53">
        <v>0.95</v>
      </c>
      <c r="V19" s="53">
        <v>1.95</v>
      </c>
      <c r="W19" s="53">
        <v>2.95</v>
      </c>
      <c r="X19" s="53">
        <v>3.95</v>
      </c>
      <c r="AJ19" s="184" t="s">
        <v>168</v>
      </c>
      <c r="AK19" s="281">
        <f>PERCENTILE(allraw,(AK62+AK63)/100)-AK18</f>
        <v>18.253900485934196</v>
      </c>
      <c r="AL19" s="281">
        <f>PERCENTILE(allraw,(AL62+AL63)/100)-AL18</f>
        <v>17.107212341502873</v>
      </c>
      <c r="AM19" s="281">
        <f>PERCENTILE(allraw,(AM62+AM63)/100)-AM18</f>
        <v>20.791279367717436</v>
      </c>
      <c r="AN19" s="281">
        <f>PERCENTILE(allraw,(AN62+AN63)/100)-AN18</f>
        <v>19.315463480498863</v>
      </c>
    </row>
    <row r="20" spans="2:40" s="53" customFormat="1" ht="12" customHeight="1">
      <c r="B20" s="55" t="s">
        <v>136</v>
      </c>
      <c r="C20"/>
      <c r="D20"/>
      <c r="T20" s="3" t="s">
        <v>167</v>
      </c>
      <c r="U20" s="1">
        <f>U67</f>
        <v>403.1762592768327</v>
      </c>
      <c r="V20" s="1">
        <f>V67</f>
        <v>405.4500531036962</v>
      </c>
      <c r="W20" s="1">
        <f>W67</f>
        <v>411.14776538692</v>
      </c>
      <c r="X20" s="1">
        <f>X67</f>
        <v>407.8299304201275</v>
      </c>
      <c r="AJ20" s="184" t="s">
        <v>169</v>
      </c>
      <c r="AK20" s="281">
        <f>AK18-PERCENTILE(allraw,(AK62-AK63)/100)</f>
        <v>20.87014234768509</v>
      </c>
      <c r="AL20" s="281">
        <f>AL18-PERCENTILE(allraw,(AL62-AL63)/100)</f>
        <v>19.941937132792475</v>
      </c>
      <c r="AM20" s="281">
        <f>AM18-PERCENTILE(allraw,(AM62-AM63)/100)</f>
        <v>21.337798812550602</v>
      </c>
      <c r="AN20" s="281">
        <f>AN18-PERCENTILE(allraw,(AN62-AN63)/100)</f>
        <v>21.918080277450883</v>
      </c>
    </row>
    <row r="21" spans="2:40" s="53" customFormat="1" ht="12" customHeight="1">
      <c r="B21" s="253" t="s">
        <v>126</v>
      </c>
      <c r="C21" s="173"/>
      <c r="D21" s="173"/>
      <c r="T21" s="184" t="s">
        <v>168</v>
      </c>
      <c r="U21" s="281">
        <f>U20*U69-U20</f>
        <v>22.56271167441014</v>
      </c>
      <c r="V21" s="281">
        <f>V20*V69-V20</f>
        <v>21.73327274868774</v>
      </c>
      <c r="W21" s="281">
        <f>W20*W69-W20</f>
        <v>23.716697529111343</v>
      </c>
      <c r="X21" s="281">
        <f>X20*X69-X20</f>
        <v>24.73506950573426</v>
      </c>
      <c r="AJ21" s="53" t="str">
        <f>AH73</f>
        <v>Exptal</v>
      </c>
      <c r="AK21" s="115"/>
      <c r="AL21" s="115"/>
      <c r="AM21" s="115"/>
      <c r="AN21" s="115"/>
    </row>
    <row r="22" spans="2:40" s="53" customFormat="1" ht="12" customHeight="1">
      <c r="B22" s="78" t="s">
        <v>178</v>
      </c>
      <c r="C22" s="255"/>
      <c r="D22" s="255"/>
      <c r="E22" s="173"/>
      <c r="F22" s="173"/>
      <c r="G22" s="173"/>
      <c r="H22" s="173"/>
      <c r="T22" s="184" t="s">
        <v>169</v>
      </c>
      <c r="U22" s="281">
        <f>U20-U20/U69</f>
        <v>21.36696500136037</v>
      </c>
      <c r="V22" s="281">
        <f>V20-V20/V69</f>
        <v>20.627576164144386</v>
      </c>
      <c r="W22" s="281">
        <f>W20-W20/W69</f>
        <v>22.423233036943884</v>
      </c>
      <c r="X22" s="281">
        <f>X20-X20/X69</f>
        <v>23.3206608883973</v>
      </c>
      <c r="AJ22" s="184" t="s">
        <v>177</v>
      </c>
      <c r="AK22" s="53">
        <v>1.05</v>
      </c>
      <c r="AL22" s="53">
        <v>2.05</v>
      </c>
      <c r="AM22" s="53">
        <v>3.05</v>
      </c>
      <c r="AN22" s="53">
        <v>4.05</v>
      </c>
    </row>
    <row r="23" spans="2:40" ht="12.75" customHeight="1">
      <c r="B23" s="367" t="s">
        <v>232</v>
      </c>
      <c r="D23" s="3"/>
      <c r="E23" s="255"/>
      <c r="F23" s="256"/>
      <c r="G23" s="173"/>
      <c r="H23" s="173"/>
      <c r="T23" s="53" t="str">
        <f>R73</f>
        <v>Exptal</v>
      </c>
      <c r="U23" s="115"/>
      <c r="V23" s="115"/>
      <c r="W23" s="115"/>
      <c r="X23" s="115"/>
      <c r="AJ23" s="3" t="s">
        <v>167</v>
      </c>
      <c r="AK23" s="1">
        <f>AK98</f>
        <v>390.6698457854111</v>
      </c>
      <c r="AL23" s="1">
        <f>AL98</f>
        <v>400.9694943531972</v>
      </c>
      <c r="AM23" s="1">
        <f>AM98</f>
        <v>409.5586550038378</v>
      </c>
      <c r="AN23" s="1">
        <f>AN98</f>
        <v>404.8517301793885</v>
      </c>
    </row>
    <row r="24" spans="2:40" ht="12.75" customHeight="1">
      <c r="B24" s="367" t="s">
        <v>230</v>
      </c>
      <c r="T24" s="184" t="s">
        <v>177</v>
      </c>
      <c r="U24" s="53">
        <v>1.05</v>
      </c>
      <c r="V24" s="53">
        <v>2.05</v>
      </c>
      <c r="W24" s="53">
        <v>3.05</v>
      </c>
      <c r="X24" s="53">
        <v>4.05</v>
      </c>
      <c r="AJ24" s="184" t="s">
        <v>168</v>
      </c>
      <c r="AK24" s="281">
        <f>PERCENTILE(allraw,(AK93+AK94)/100)-AK23</f>
        <v>18.304749242864375</v>
      </c>
      <c r="AL24" s="281">
        <f>PERCENTILE(allraw,(AL93+AL94)/100)-AL23</f>
        <v>15.828312237484113</v>
      </c>
      <c r="AM24" s="281">
        <f>PERCENTILE(allraw,(AM93+AM94)/100)-AM23</f>
        <v>19.473953136388673</v>
      </c>
      <c r="AN24" s="281">
        <f>PERCENTILE(allraw,(AN93+AN94)/100)-AN23</f>
        <v>18.463732473453433</v>
      </c>
    </row>
    <row r="25" spans="3:40" ht="12.75" customHeight="1">
      <c r="C25" s="316" t="s">
        <v>209</v>
      </c>
      <c r="D25" s="317" t="s">
        <v>211</v>
      </c>
      <c r="E25" s="308"/>
      <c r="J25" s="356" t="s">
        <v>227</v>
      </c>
      <c r="K25" s="317" t="s">
        <v>211</v>
      </c>
      <c r="T25" s="3" t="s">
        <v>167</v>
      </c>
      <c r="U25" s="1">
        <f>U98</f>
        <v>388.92148335634965</v>
      </c>
      <c r="V25" s="1">
        <f>V98</f>
        <v>397.25471631784046</v>
      </c>
      <c r="W25" s="1">
        <f>W98</f>
        <v>409.6571588288658</v>
      </c>
      <c r="X25" s="1">
        <f>X98</f>
        <v>403.7905643453551</v>
      </c>
      <c r="AJ25" s="184" t="s">
        <v>169</v>
      </c>
      <c r="AK25" s="281">
        <f>AK23-PERCENTILE(allraw,(AK93-AK94)/100)</f>
        <v>17.011972192879796</v>
      </c>
      <c r="AL25" s="281">
        <f>AL23-PERCENTILE(allraw,(AL93-AL94)/100)</f>
        <v>18.647787839246348</v>
      </c>
      <c r="AM25" s="281">
        <f>AM23-PERCENTILE(allraw,(AM93-AM94)/100)</f>
        <v>20.201229684732652</v>
      </c>
      <c r="AN25" s="281">
        <f>AN23-PERCENTILE(allraw,(AN93-AN94)/100)</f>
        <v>20.208206203979557</v>
      </c>
    </row>
    <row r="26" spans="1:24" ht="12.75" customHeight="1" thickBot="1">
      <c r="A26" s="24"/>
      <c r="B26" s="322"/>
      <c r="C26" s="323" t="s">
        <v>210</v>
      </c>
      <c r="D26" s="324" t="s">
        <v>215</v>
      </c>
      <c r="E26" s="325"/>
      <c r="F26" s="326"/>
      <c r="G26" s="326"/>
      <c r="I26" s="322"/>
      <c r="J26" s="357" t="s">
        <v>225</v>
      </c>
      <c r="K26" s="358" t="s">
        <v>226</v>
      </c>
      <c r="L26" s="24"/>
      <c r="T26" s="184" t="s">
        <v>168</v>
      </c>
      <c r="U26" s="281">
        <f>U25*U100-U25</f>
        <v>21.710549921182007</v>
      </c>
      <c r="V26" s="281">
        <f>V25*V100-V25</f>
        <v>23.66385909909269</v>
      </c>
      <c r="W26" s="281">
        <f>W25*W100-W25</f>
        <v>28.13863312789374</v>
      </c>
      <c r="X26" s="281">
        <f>X25*X100-X25</f>
        <v>23.69846123406211</v>
      </c>
    </row>
    <row r="27" spans="1:43" s="11" customFormat="1" ht="12.75" customHeight="1">
      <c r="A27" s="24"/>
      <c r="B27" s="335" t="s">
        <v>185</v>
      </c>
      <c r="C27" s="312"/>
      <c r="D27" s="309">
        <f>IF(ISNUMBER(C27),-C27,"")</f>
      </c>
      <c r="E27" s="354" t="s">
        <v>203</v>
      </c>
      <c r="F27"/>
      <c r="G27"/>
      <c r="I27" s="335" t="s">
        <v>185</v>
      </c>
      <c r="J27" s="359">
        <f>IF(ISNUMBER(C30),C30*E113,"")</f>
      </c>
      <c r="K27" s="362">
        <f>IF(ISNUMBER(C30),D30*E113,"")</f>
      </c>
      <c r="L27" s="334"/>
      <c r="T27" s="184" t="s">
        <v>169</v>
      </c>
      <c r="U27" s="281">
        <f>U25-U25/U100</f>
        <v>20.562690183796235</v>
      </c>
      <c r="V27" s="281">
        <f>V25-V25/V100</f>
        <v>22.333487240575778</v>
      </c>
      <c r="W27" s="281">
        <f>W25-W25/W100</f>
        <v>26.330066922249614</v>
      </c>
      <c r="X27" s="281">
        <f>X25-X25/X100</f>
        <v>22.384703380042026</v>
      </c>
      <c r="Z27" s="98"/>
      <c r="AA27" s="304"/>
      <c r="AP27" s="98"/>
      <c r="AQ27" s="304"/>
    </row>
    <row r="28" spans="1:43" s="11" customFormat="1" ht="12.75" customHeight="1">
      <c r="A28" s="24"/>
      <c r="B28" s="336" t="s">
        <v>186</v>
      </c>
      <c r="C28" s="313"/>
      <c r="D28" s="310">
        <f>IF(ISNUMBER(C28),100/(1+C28/100)-100,"")</f>
      </c>
      <c r="E28" s="354" t="s">
        <v>204</v>
      </c>
      <c r="F28" s="305"/>
      <c r="I28" s="336" t="s">
        <v>186</v>
      </c>
      <c r="J28" s="360">
        <f>IF(ISNUMBER(C30),100*EXP(LN(U114)*C30)-100,"")</f>
      </c>
      <c r="K28" s="363">
        <f>IF(ISNUMBER(C30),100*EXP(LN(U114)*D30)-100,"")</f>
      </c>
      <c r="L28" s="334"/>
      <c r="Z28" s="98"/>
      <c r="AA28" s="304"/>
      <c r="AP28" s="98"/>
      <c r="AQ28" s="304"/>
    </row>
    <row r="29" spans="1:43" s="11" customFormat="1" ht="12.75" customHeight="1">
      <c r="A29" s="24"/>
      <c r="B29" s="336" t="s">
        <v>187</v>
      </c>
      <c r="C29" s="312"/>
      <c r="D29" s="309">
        <f>IF(ISNUMBER(C29),1/C29,"")</f>
      </c>
      <c r="E29" s="354" t="s">
        <v>204</v>
      </c>
      <c r="F29" s="305"/>
      <c r="I29" s="336" t="s">
        <v>187</v>
      </c>
      <c r="J29" s="359">
        <f>IF(ISNUMBER(C30),1+J28/100,"")</f>
      </c>
      <c r="K29" s="364">
        <f>IF(ISNUMBER(C30),1+K28/100,"")</f>
      </c>
      <c r="Z29" s="98"/>
      <c r="AA29" s="304"/>
      <c r="AP29" s="98"/>
      <c r="AQ29" s="304"/>
    </row>
    <row r="30" spans="1:43" s="11" customFormat="1" ht="12.75" customHeight="1" thickBot="1">
      <c r="A30" s="334"/>
      <c r="B30" s="337" t="s">
        <v>188</v>
      </c>
      <c r="C30" s="333"/>
      <c r="D30" s="340">
        <f>IF(ISNUMBER(C30),-C30,"")</f>
      </c>
      <c r="E30" s="355" t="s">
        <v>224</v>
      </c>
      <c r="F30" s="326"/>
      <c r="G30" s="341"/>
      <c r="I30" s="368" t="s">
        <v>231</v>
      </c>
      <c r="Z30" s="98"/>
      <c r="AA30" s="304"/>
      <c r="AP30" s="98"/>
      <c r="AQ30" s="304"/>
    </row>
    <row r="31" spans="1:43" s="11" customFormat="1" ht="12.75" customHeight="1">
      <c r="A31" s="334"/>
      <c r="B31" s="336" t="s">
        <v>190</v>
      </c>
      <c r="C31" s="311"/>
      <c r="D31" s="309">
        <f>IF(ISNUMBER(C31),1/C31,"")</f>
      </c>
      <c r="E31" s="354" t="s">
        <v>205</v>
      </c>
      <c r="F31" s="314"/>
      <c r="G31" s="314"/>
      <c r="I31" s="361"/>
      <c r="Z31" s="98"/>
      <c r="AA31" s="304"/>
      <c r="AP31" s="98"/>
      <c r="AQ31" s="304"/>
    </row>
    <row r="32" spans="2:43" s="11" customFormat="1" ht="7.5" customHeight="1">
      <c r="B32" s="327"/>
      <c r="C32" s="328"/>
      <c r="D32" s="366"/>
      <c r="E32" s="354"/>
      <c r="F32" s="314"/>
      <c r="G32" s="314"/>
      <c r="I32" s="361"/>
      <c r="Z32" s="98"/>
      <c r="AA32" s="304"/>
      <c r="AP32" s="98"/>
      <c r="AQ32" s="304"/>
    </row>
    <row r="33" spans="4:43" s="11" customFormat="1" ht="12.75" customHeight="1">
      <c r="D33" s="8" t="s">
        <v>142</v>
      </c>
      <c r="E33" s="329">
        <v>90</v>
      </c>
      <c r="J33" s="98"/>
      <c r="K33" s="304"/>
      <c r="Z33" s="98"/>
      <c r="AA33" s="304"/>
      <c r="AP33" s="98"/>
      <c r="AQ33" s="304"/>
    </row>
    <row r="34" spans="1:43" s="11" customFormat="1" ht="12.75" customHeight="1">
      <c r="A34" s="98"/>
      <c r="D34" s="315" t="s">
        <v>191</v>
      </c>
      <c r="E34" s="329">
        <v>1</v>
      </c>
      <c r="F34" s="98"/>
      <c r="J34" s="178"/>
      <c r="K34" s="304"/>
      <c r="L34" s="178"/>
      <c r="Z34" s="98"/>
      <c r="AA34" s="304"/>
      <c r="AP34" s="98"/>
      <c r="AQ34" s="304"/>
    </row>
    <row r="35" spans="4:43" s="11" customFormat="1" ht="12.75" customHeight="1">
      <c r="D35" s="315" t="s">
        <v>192</v>
      </c>
      <c r="E35" s="330">
        <f>100-(100-E33)/E34</f>
        <v>90</v>
      </c>
      <c r="I35" s="211"/>
      <c r="J35" s="212" t="s">
        <v>107</v>
      </c>
      <c r="K35" s="300"/>
      <c r="Y35" s="211"/>
      <c r="Z35" s="212" t="s">
        <v>107</v>
      </c>
      <c r="AA35" s="300"/>
      <c r="AO35" s="211"/>
      <c r="AP35" s="212" t="s">
        <v>107</v>
      </c>
      <c r="AQ35" s="213"/>
    </row>
    <row r="36" spans="4:43" s="11" customFormat="1" ht="12.75" customHeight="1">
      <c r="D36" s="315" t="s">
        <v>206</v>
      </c>
      <c r="E36" s="331">
        <f>(100-E35)/20</f>
        <v>0.5</v>
      </c>
      <c r="F36" s="98"/>
      <c r="I36"/>
      <c r="J36" s="178" t="s">
        <v>112</v>
      </c>
      <c r="K36" s="179">
        <f>D104</f>
        <v>9.153473830910087</v>
      </c>
      <c r="Y36"/>
      <c r="Z36" s="178" t="s">
        <v>112</v>
      </c>
      <c r="AA36" s="179">
        <f>T104</f>
        <v>9.153473830910087</v>
      </c>
      <c r="AO36"/>
      <c r="AP36" s="178" t="s">
        <v>112</v>
      </c>
      <c r="AQ36" s="179">
        <f>AJ104</f>
        <v>9.153473830910087</v>
      </c>
    </row>
    <row r="37" spans="4:43" s="11" customFormat="1" ht="12.75" customHeight="1">
      <c r="D37" s="315" t="s">
        <v>207</v>
      </c>
      <c r="E37" s="330">
        <f>E36*50</f>
        <v>25</v>
      </c>
      <c r="F37" s="98"/>
      <c r="G37" s="99"/>
      <c r="I37"/>
      <c r="J37" s="178" t="s">
        <v>113</v>
      </c>
      <c r="K37" s="179">
        <f>D105</f>
        <v>3.3054070053958764</v>
      </c>
      <c r="Y37"/>
      <c r="Z37" s="178" t="s">
        <v>113</v>
      </c>
      <c r="AA37" s="179">
        <f>T105</f>
        <v>3.3054070053958764</v>
      </c>
      <c r="AO37"/>
      <c r="AP37" s="178" t="s">
        <v>113</v>
      </c>
      <c r="AQ37" s="179">
        <f>AJ105</f>
        <v>3.3054070053958764</v>
      </c>
    </row>
    <row r="38" spans="4:43" s="11" customFormat="1" ht="12.75" customHeight="1">
      <c r="D38" s="315" t="s">
        <v>216</v>
      </c>
      <c r="E38" s="332">
        <f>ROUND(E37/(100-E37)/(E36/(100-E36)),0)</f>
        <v>66</v>
      </c>
      <c r="F38" s="98"/>
      <c r="G38" s="99"/>
      <c r="I38" s="211"/>
      <c r="J38" s="212" t="s">
        <v>114</v>
      </c>
      <c r="K38" s="213"/>
      <c r="Y38" s="211"/>
      <c r="Z38" s="212" t="s">
        <v>114</v>
      </c>
      <c r="AA38" s="213"/>
      <c r="AO38" s="211"/>
      <c r="AP38" s="212" t="s">
        <v>114</v>
      </c>
      <c r="AQ38" s="213"/>
    </row>
    <row r="39" spans="4:43" s="11" customFormat="1" ht="12.75" customHeight="1">
      <c r="D39" s="315"/>
      <c r="E39" s="339"/>
      <c r="F39" s="98"/>
      <c r="G39" s="99"/>
      <c r="J39" s="98"/>
      <c r="K39" s="304"/>
      <c r="Z39" s="98"/>
      <c r="AA39" s="304"/>
      <c r="AP39" s="98"/>
      <c r="AQ39" s="304"/>
    </row>
    <row r="40" spans="2:47" s="120" customFormat="1" ht="32.25" customHeight="1">
      <c r="B40" s="429" t="s">
        <v>4</v>
      </c>
      <c r="C40" s="430"/>
      <c r="D40" s="172"/>
      <c r="E40" s="318" t="s">
        <v>54</v>
      </c>
      <c r="F40" s="318"/>
      <c r="G40" s="318"/>
      <c r="H40" s="318"/>
      <c r="I40" s="119"/>
      <c r="J40" s="119"/>
      <c r="K40" s="318" t="s">
        <v>53</v>
      </c>
      <c r="L40" s="318"/>
      <c r="M40" s="318"/>
      <c r="N40" s="318"/>
      <c r="O40" s="318"/>
      <c r="R40" s="429" t="s">
        <v>5</v>
      </c>
      <c r="S40" s="430"/>
      <c r="T40" s="172"/>
      <c r="U40" s="318" t="s">
        <v>54</v>
      </c>
      <c r="V40" s="318"/>
      <c r="W40" s="318"/>
      <c r="X40" s="318"/>
      <c r="Y40" s="119"/>
      <c r="Z40" s="119"/>
      <c r="AA40" s="318" t="s">
        <v>53</v>
      </c>
      <c r="AB40" s="318"/>
      <c r="AC40" s="318"/>
      <c r="AD40" s="318"/>
      <c r="AE40" s="318"/>
      <c r="AH40" s="429" t="s">
        <v>50</v>
      </c>
      <c r="AI40" s="430"/>
      <c r="AJ40" s="172"/>
      <c r="AK40" s="318" t="s">
        <v>54</v>
      </c>
      <c r="AL40" s="318"/>
      <c r="AM40" s="318"/>
      <c r="AN40" s="345"/>
      <c r="AO40" s="119"/>
      <c r="AP40" s="119"/>
      <c r="AQ40" s="318" t="s">
        <v>53</v>
      </c>
      <c r="AR40" s="318"/>
      <c r="AS40" s="318"/>
      <c r="AT40" s="318"/>
      <c r="AU40" s="318"/>
    </row>
    <row r="41" spans="2:47" s="120" customFormat="1" ht="27">
      <c r="B41" s="121" t="s">
        <v>21</v>
      </c>
      <c r="C41" s="121" t="s">
        <v>0</v>
      </c>
      <c r="D41" s="122" t="s">
        <v>105</v>
      </c>
      <c r="E41" s="122" t="s">
        <v>180</v>
      </c>
      <c r="F41" s="122" t="s">
        <v>181</v>
      </c>
      <c r="G41" s="122" t="s">
        <v>182</v>
      </c>
      <c r="H41" s="122" t="s">
        <v>183</v>
      </c>
      <c r="I41" s="123" t="s">
        <v>47</v>
      </c>
      <c r="J41" s="123" t="s">
        <v>47</v>
      </c>
      <c r="K41" s="122" t="s">
        <v>76</v>
      </c>
      <c r="L41" s="122" t="s">
        <v>77</v>
      </c>
      <c r="M41" s="122" t="s">
        <v>78</v>
      </c>
      <c r="N41" s="122" t="s">
        <v>71</v>
      </c>
      <c r="O41" s="122" t="s">
        <v>24</v>
      </c>
      <c r="R41" s="121" t="str">
        <f aca="true" t="shared" si="2" ref="R41:X41">B41</f>
        <v>Group</v>
      </c>
      <c r="S41" s="121" t="str">
        <f t="shared" si="2"/>
        <v>Name</v>
      </c>
      <c r="T41" s="124" t="str">
        <f t="shared" si="2"/>
        <v>X</v>
      </c>
      <c r="U41" s="124" t="str">
        <f t="shared" si="2"/>
        <v>Pre1</v>
      </c>
      <c r="V41" s="124" t="str">
        <f t="shared" si="2"/>
        <v>Pre2</v>
      </c>
      <c r="W41" s="124" t="str">
        <f t="shared" si="2"/>
        <v>Post1</v>
      </c>
      <c r="X41" s="124" t="str">
        <f t="shared" si="2"/>
        <v>Post2</v>
      </c>
      <c r="Y41" s="123" t="s">
        <v>47</v>
      </c>
      <c r="Z41" s="123" t="s">
        <v>47</v>
      </c>
      <c r="AA41" s="124" t="str">
        <f>K41</f>
        <v>Pre2-Pre1</v>
      </c>
      <c r="AB41" s="124" t="str">
        <f>L41</f>
        <v>Post1-Pre2</v>
      </c>
      <c r="AC41" s="124" t="str">
        <f>M41</f>
        <v>Post2-Pre2</v>
      </c>
      <c r="AD41" s="124" t="str">
        <f>N41</f>
        <v>Post2-Post1</v>
      </c>
      <c r="AE41" s="124" t="str">
        <f>O41</f>
        <v>other effect</v>
      </c>
      <c r="AH41" s="121" t="str">
        <f aca="true" t="shared" si="3" ref="AH41:AH61">R41</f>
        <v>Group</v>
      </c>
      <c r="AI41" s="121" t="str">
        <f aca="true" t="shared" si="4" ref="AI41:AI61">S41</f>
        <v>Name</v>
      </c>
      <c r="AJ41" s="124" t="str">
        <f>D41</f>
        <v>X</v>
      </c>
      <c r="AK41" s="124" t="str">
        <f>E41</f>
        <v>Pre1</v>
      </c>
      <c r="AL41" s="124" t="str">
        <f>F41</f>
        <v>Pre2</v>
      </c>
      <c r="AM41" s="124" t="str">
        <f>G41</f>
        <v>Post1</v>
      </c>
      <c r="AN41" s="124" t="str">
        <f>H41</f>
        <v>Post2</v>
      </c>
      <c r="AO41" s="123" t="s">
        <v>47</v>
      </c>
      <c r="AP41" s="123" t="s">
        <v>47</v>
      </c>
      <c r="AQ41" s="124" t="str">
        <f>K41</f>
        <v>Pre2-Pre1</v>
      </c>
      <c r="AR41" s="124" t="str">
        <f>L41</f>
        <v>Post1-Pre2</v>
      </c>
      <c r="AS41" s="124" t="str">
        <f>M41</f>
        <v>Post2-Pre2</v>
      </c>
      <c r="AT41" s="124" t="str">
        <f>N41</f>
        <v>Post2-Post1</v>
      </c>
      <c r="AU41" s="124" t="str">
        <f>O41</f>
        <v>other effect</v>
      </c>
    </row>
    <row r="42" spans="2:47" ht="12.75">
      <c r="B42" s="209" t="s">
        <v>22</v>
      </c>
      <c r="C42" s="209" t="s">
        <v>40</v>
      </c>
      <c r="D42" s="176">
        <v>6.717537705176532</v>
      </c>
      <c r="E42" s="19">
        <v>421.15220708538993</v>
      </c>
      <c r="F42" s="19">
        <v>414.1504551168434</v>
      </c>
      <c r="G42" s="19">
        <v>428.0881851538562</v>
      </c>
      <c r="H42" s="19">
        <v>429.18051229162427</v>
      </c>
      <c r="J42" s="3"/>
      <c r="K42" s="4">
        <f aca="true" t="shared" si="5" ref="K42:K61">IF(AND(ISNUMBER(F42),ISNUMBER(E42)),F42-E42,"miss")</f>
        <v>-7.001751968546557</v>
      </c>
      <c r="L42" s="4">
        <f aca="true" t="shared" si="6" ref="L42:L61">IF(AND(ISNUMBER(G42),ISNUMBER(F42)),G42-F42,"miss")</f>
        <v>13.937730037012841</v>
      </c>
      <c r="M42" s="4">
        <f aca="true" t="shared" si="7" ref="M42:M61">IF(AND(ISNUMBER(H42),ISNUMBER(F42)),H42-F42,"miss")</f>
        <v>15.030057174780893</v>
      </c>
      <c r="N42" s="4">
        <f aca="true" t="shared" si="8" ref="N42:N61">IF(AND(ISNUMBER(H42),ISNUMBER(G42)),H42-G42,"miss")</f>
        <v>1.0923271377680521</v>
      </c>
      <c r="O42" s="4"/>
      <c r="R42" s="209" t="str">
        <f aca="true" t="shared" si="9" ref="R42:R61">B42</f>
        <v>Control</v>
      </c>
      <c r="S42" s="209" t="str">
        <f aca="true" t="shared" si="10" ref="S42:S61">C42</f>
        <v>Alex</v>
      </c>
      <c r="T42" s="184">
        <f>IF(ISNUMBER(D42),D42,"miss")</f>
        <v>6.717537705176532</v>
      </c>
      <c r="U42" s="4">
        <f aca="true" t="shared" si="11" ref="U42:U61">IF(ISERROR(100*LN(E42)),"miss",100*LN(E42))</f>
        <v>604.299430536355</v>
      </c>
      <c r="V42" s="4">
        <f aca="true" t="shared" si="12" ref="V42:V61">IF(ISERROR(100*LN(F42)),"miss",100*LN(F42))</f>
        <v>602.6229325961557</v>
      </c>
      <c r="W42" s="4">
        <f aca="true" t="shared" si="13" ref="W42:W61">IF(ISERROR(100*LN(G42)),"miss",100*LN(G42))</f>
        <v>605.9329214437558</v>
      </c>
      <c r="X42" s="4">
        <f aca="true" t="shared" si="14" ref="X42:X61">IF(ISERROR(100*LN(H42)),"miss",100*LN(H42))</f>
        <v>606.1877604999772</v>
      </c>
      <c r="Y42" s="4"/>
      <c r="Z42" s="4"/>
      <c r="AA42" s="4">
        <f aca="true" t="shared" si="15" ref="AA42:AA61">IF(AND(ISNUMBER(V42),ISNUMBER(U42)),V42-U42,"miss")</f>
        <v>-1.6764979401992832</v>
      </c>
      <c r="AB42" s="4">
        <f aca="true" t="shared" si="16" ref="AB42:AB61">IF(AND(ISNUMBER(W42),ISNUMBER(V42)),W42-V42,"miss")</f>
        <v>3.3099888476001524</v>
      </c>
      <c r="AC42" s="4">
        <f aca="true" t="shared" si="17" ref="AC42:AC61">IF(AND(ISNUMBER(X42),ISNUMBER(V42)),X42-V42,"miss")</f>
        <v>3.564827903821538</v>
      </c>
      <c r="AD42" s="4">
        <f aca="true" t="shared" si="18" ref="AD42:AD61">IF(AND(ISNUMBER(X42),ISNUMBER(W42)),X42-W42,"miss")</f>
        <v>0.25483905622138536</v>
      </c>
      <c r="AE42" s="4"/>
      <c r="AH42" s="209" t="str">
        <f t="shared" si="3"/>
        <v>Control</v>
      </c>
      <c r="AI42" s="209" t="str">
        <f t="shared" si="4"/>
        <v>Alex</v>
      </c>
      <c r="AJ42" s="184">
        <f>IF(ISNUMBER(D42),D42,"miss")</f>
        <v>6.717537705176532</v>
      </c>
      <c r="AK42" s="44">
        <f aca="true" t="shared" si="19" ref="AK42:AK61">IF(ISNUMBER(E42),(RANK(E42,allraw,1)-1)/($E$107-1)*100,"miss")</f>
        <v>76.10062893081762</v>
      </c>
      <c r="AL42" s="44">
        <f aca="true" t="shared" si="20" ref="AL42:AL61">IF(ISNUMBER(F42),(RANK(F42,allraw,1)-1)/($E$107-1)*100,"miss")</f>
        <v>65.40880503144653</v>
      </c>
      <c r="AM42" s="44">
        <f aca="true" t="shared" si="21" ref="AM42:AM61">IF(ISNUMBER(G42),(RANK(G42,allraw,1)-1)/($E$107-1)*100,"miss")</f>
        <v>86.16352201257862</v>
      </c>
      <c r="AN42" s="44">
        <f aca="true" t="shared" si="22" ref="AN42:AN61">IF(ISNUMBER(H42),(RANK(H42,allraw,1)-1)/($E$107-1)*100,"miss")</f>
        <v>87.42138364779875</v>
      </c>
      <c r="AO42" s="3"/>
      <c r="AP42" s="3"/>
      <c r="AQ42" s="4">
        <f aca="true" t="shared" si="23" ref="AQ42:AQ61">IF(AND(ISNUMBER(AL42),ISNUMBER(AK42)),AL42-AK42,"miss")</f>
        <v>-10.691823899371087</v>
      </c>
      <c r="AR42" s="4">
        <f aca="true" t="shared" si="24" ref="AR42:AR61">IF(AND(ISNUMBER(AM42),ISNUMBER(AL42)),AM42-AL42,"miss")</f>
        <v>20.75471698113209</v>
      </c>
      <c r="AS42" s="4">
        <f aca="true" t="shared" si="25" ref="AS42:AS61">IF(AND(ISNUMBER(AN42),ISNUMBER(AL42)),AN42-AL42,"miss")</f>
        <v>22.012578616352215</v>
      </c>
      <c r="AT42" s="4">
        <f aca="true" t="shared" si="26" ref="AT42:AT61">IF(AND(ISNUMBER(AN42),ISNUMBER(AM42)),AN42-AM42,"miss")</f>
        <v>1.2578616352201237</v>
      </c>
      <c r="AU42" s="44"/>
    </row>
    <row r="43" spans="2:47" ht="12.75">
      <c r="B43" s="210" t="str">
        <f aca="true" t="shared" si="27" ref="B43:B61">B42</f>
        <v>Control</v>
      </c>
      <c r="C43" s="209" t="s">
        <v>90</v>
      </c>
      <c r="D43" s="176">
        <v>12.448248175011013</v>
      </c>
      <c r="E43" s="19">
        <v>406.8285923887946</v>
      </c>
      <c r="F43" s="19">
        <v>412.7753464273555</v>
      </c>
      <c r="G43" s="19">
        <v>409.5160537264136</v>
      </c>
      <c r="H43" s="19">
        <v>412.00275981273194</v>
      </c>
      <c r="J43" s="3"/>
      <c r="K43" s="4">
        <f t="shared" si="5"/>
        <v>5.946754038560869</v>
      </c>
      <c r="L43" s="4">
        <f t="shared" si="6"/>
        <v>-3.2592927009418986</v>
      </c>
      <c r="M43" s="4">
        <f t="shared" si="7"/>
        <v>-0.7725866146235489</v>
      </c>
      <c r="N43" s="4">
        <f t="shared" si="8"/>
        <v>2.4867060863183497</v>
      </c>
      <c r="O43" s="4"/>
      <c r="R43" s="210" t="str">
        <f t="shared" si="9"/>
        <v>Control</v>
      </c>
      <c r="S43" s="209" t="str">
        <f t="shared" si="10"/>
        <v>Ariel</v>
      </c>
      <c r="T43" s="184">
        <f aca="true" t="shared" si="28" ref="T43:T61">IF(ISNUMBER(D43),D43,"miss")</f>
        <v>12.448248175011013</v>
      </c>
      <c r="U43" s="4">
        <f t="shared" si="11"/>
        <v>600.8391947812601</v>
      </c>
      <c r="V43" s="4">
        <f t="shared" si="12"/>
        <v>602.2903489581927</v>
      </c>
      <c r="W43" s="4">
        <f t="shared" si="13"/>
        <v>601.4976105763802</v>
      </c>
      <c r="X43" s="4">
        <f t="shared" si="14"/>
        <v>602.1030047901684</v>
      </c>
      <c r="Y43" s="4"/>
      <c r="Z43" s="4"/>
      <c r="AA43" s="4">
        <f t="shared" si="15"/>
        <v>1.4511541769326186</v>
      </c>
      <c r="AB43" s="4">
        <f t="shared" si="16"/>
        <v>-0.7927383818124554</v>
      </c>
      <c r="AC43" s="4">
        <f t="shared" si="17"/>
        <v>-0.18734416802431042</v>
      </c>
      <c r="AD43" s="4">
        <f t="shared" si="18"/>
        <v>0.605394213788145</v>
      </c>
      <c r="AE43" s="4"/>
      <c r="AH43" s="210" t="str">
        <f t="shared" si="3"/>
        <v>Control</v>
      </c>
      <c r="AI43" s="209" t="str">
        <f t="shared" si="4"/>
        <v>Ariel</v>
      </c>
      <c r="AJ43" s="184">
        <f aca="true" t="shared" si="29" ref="AJ43:AJ61">IF(ISNUMBER(D43),D43,"miss")</f>
        <v>12.448248175011013</v>
      </c>
      <c r="AK43" s="44">
        <f t="shared" si="19"/>
        <v>52.83018867924528</v>
      </c>
      <c r="AL43" s="44">
        <f t="shared" si="20"/>
        <v>62.264150943396224</v>
      </c>
      <c r="AM43" s="44">
        <f t="shared" si="21"/>
        <v>57.23270440251572</v>
      </c>
      <c r="AN43" s="44">
        <f t="shared" si="22"/>
        <v>61.0062893081761</v>
      </c>
      <c r="AO43" s="3"/>
      <c r="AP43" s="3"/>
      <c r="AQ43" s="4">
        <f t="shared" si="23"/>
        <v>9.433962264150942</v>
      </c>
      <c r="AR43" s="4">
        <f t="shared" si="24"/>
        <v>-5.031446540880502</v>
      </c>
      <c r="AS43" s="4">
        <f t="shared" si="25"/>
        <v>-1.2578616352201237</v>
      </c>
      <c r="AT43" s="4">
        <f t="shared" si="26"/>
        <v>3.7735849056603783</v>
      </c>
      <c r="AU43" s="44"/>
    </row>
    <row r="44" spans="2:47" ht="12.75">
      <c r="B44" s="210" t="str">
        <f t="shared" si="27"/>
        <v>Control</v>
      </c>
      <c r="C44" s="209" t="s">
        <v>91</v>
      </c>
      <c r="D44" s="176">
        <v>4.521119308148494</v>
      </c>
      <c r="E44" s="19">
        <v>373.5568358546386</v>
      </c>
      <c r="F44" s="19">
        <v>386.8426546801491</v>
      </c>
      <c r="G44" s="19">
        <v>397.40545229769737</v>
      </c>
      <c r="H44" s="19">
        <v>388.5556718785326</v>
      </c>
      <c r="J44" s="3"/>
      <c r="K44" s="4">
        <f t="shared" si="5"/>
        <v>13.28581882551049</v>
      </c>
      <c r="L44" s="4">
        <f t="shared" si="6"/>
        <v>10.562797617548256</v>
      </c>
      <c r="M44" s="4">
        <f t="shared" si="7"/>
        <v>1.7130171983835112</v>
      </c>
      <c r="N44" s="4">
        <f t="shared" si="8"/>
        <v>-8.849780419164745</v>
      </c>
      <c r="O44" s="4"/>
      <c r="R44" s="210" t="str">
        <f t="shared" si="9"/>
        <v>Control</v>
      </c>
      <c r="S44" s="209" t="str">
        <f t="shared" si="10"/>
        <v>Ashley</v>
      </c>
      <c r="T44" s="184">
        <f t="shared" si="28"/>
        <v>4.521119308148494</v>
      </c>
      <c r="U44" s="4">
        <f t="shared" si="11"/>
        <v>592.3070163958934</v>
      </c>
      <c r="V44" s="4">
        <f t="shared" si="12"/>
        <v>595.8018033301042</v>
      </c>
      <c r="W44" s="4">
        <f t="shared" si="13"/>
        <v>598.4957049947348</v>
      </c>
      <c r="X44" s="4">
        <f t="shared" si="14"/>
        <v>596.2436459099944</v>
      </c>
      <c r="Y44" s="4"/>
      <c r="Z44" s="4"/>
      <c r="AA44" s="4">
        <f t="shared" si="15"/>
        <v>3.494786934210879</v>
      </c>
      <c r="AB44" s="4">
        <f t="shared" si="16"/>
        <v>2.6939016646305163</v>
      </c>
      <c r="AC44" s="4">
        <f t="shared" si="17"/>
        <v>0.4418425798901353</v>
      </c>
      <c r="AD44" s="4">
        <f t="shared" si="18"/>
        <v>-2.252059084740381</v>
      </c>
      <c r="AE44" s="4"/>
      <c r="AH44" s="210" t="str">
        <f t="shared" si="3"/>
        <v>Control</v>
      </c>
      <c r="AI44" s="209" t="str">
        <f t="shared" si="4"/>
        <v>Ashley</v>
      </c>
      <c r="AJ44" s="184">
        <f t="shared" si="29"/>
        <v>4.521119308148494</v>
      </c>
      <c r="AK44" s="44">
        <f t="shared" si="19"/>
        <v>8.176100628930817</v>
      </c>
      <c r="AL44" s="44">
        <f t="shared" si="20"/>
        <v>23.89937106918239</v>
      </c>
      <c r="AM44" s="44">
        <f t="shared" si="21"/>
        <v>38.9937106918239</v>
      </c>
      <c r="AN44" s="44">
        <f t="shared" si="22"/>
        <v>27.044025157232703</v>
      </c>
      <c r="AO44" s="3"/>
      <c r="AP44" s="3"/>
      <c r="AQ44" s="4">
        <f t="shared" si="23"/>
        <v>15.723270440251573</v>
      </c>
      <c r="AR44" s="4">
        <f t="shared" si="24"/>
        <v>15.09433962264151</v>
      </c>
      <c r="AS44" s="4">
        <f t="shared" si="25"/>
        <v>3.144654088050313</v>
      </c>
      <c r="AT44" s="4">
        <f t="shared" si="26"/>
        <v>-11.949685534591197</v>
      </c>
      <c r="AU44" s="44"/>
    </row>
    <row r="45" spans="2:47" ht="12.75">
      <c r="B45" s="210" t="str">
        <f t="shared" si="27"/>
        <v>Control</v>
      </c>
      <c r="C45" s="209" t="s">
        <v>92</v>
      </c>
      <c r="D45" s="176">
        <v>8.267928974321219</v>
      </c>
      <c r="E45" s="19">
        <v>394.050808129267</v>
      </c>
      <c r="F45" s="19">
        <v>426.9817790999283</v>
      </c>
      <c r="G45" s="19">
        <v>439.19569317340256</v>
      </c>
      <c r="H45" s="19">
        <v>424.7428269598669</v>
      </c>
      <c r="J45" s="3"/>
      <c r="K45" s="4">
        <f t="shared" si="5"/>
        <v>32.93097097066129</v>
      </c>
      <c r="L45" s="4">
        <f t="shared" si="6"/>
        <v>12.213914073474257</v>
      </c>
      <c r="M45" s="4">
        <f t="shared" si="7"/>
        <v>-2.2389521400614285</v>
      </c>
      <c r="N45" s="4">
        <f t="shared" si="8"/>
        <v>-14.452866213535685</v>
      </c>
      <c r="O45" s="4"/>
      <c r="R45" s="210" t="str">
        <f t="shared" si="9"/>
        <v>Control</v>
      </c>
      <c r="S45" s="209" t="str">
        <f t="shared" si="10"/>
        <v>Bernie</v>
      </c>
      <c r="T45" s="184">
        <f t="shared" si="28"/>
        <v>8.267928974321219</v>
      </c>
      <c r="U45" s="4">
        <f t="shared" si="11"/>
        <v>597.6479855626808</v>
      </c>
      <c r="V45" s="4">
        <f t="shared" si="12"/>
        <v>605.674134042103</v>
      </c>
      <c r="W45" s="4">
        <f t="shared" si="13"/>
        <v>608.4945084075753</v>
      </c>
      <c r="X45" s="4">
        <f t="shared" si="14"/>
        <v>605.1483872734027</v>
      </c>
      <c r="Y45" s="4"/>
      <c r="Z45" s="4"/>
      <c r="AA45" s="4">
        <f t="shared" si="15"/>
        <v>8.026148479422204</v>
      </c>
      <c r="AB45" s="4">
        <f t="shared" si="16"/>
        <v>2.8203743654722757</v>
      </c>
      <c r="AC45" s="4">
        <f t="shared" si="17"/>
        <v>-0.5257467687002872</v>
      </c>
      <c r="AD45" s="4">
        <f t="shared" si="18"/>
        <v>-3.346121134172563</v>
      </c>
      <c r="AE45" s="4"/>
      <c r="AH45" s="210" t="str">
        <f t="shared" si="3"/>
        <v>Control</v>
      </c>
      <c r="AI45" s="209" t="str">
        <f t="shared" si="4"/>
        <v>Bernie</v>
      </c>
      <c r="AJ45" s="184">
        <f t="shared" si="29"/>
        <v>8.267928974321219</v>
      </c>
      <c r="AK45" s="44">
        <f t="shared" si="19"/>
        <v>35.22012578616352</v>
      </c>
      <c r="AL45" s="44">
        <f t="shared" si="20"/>
        <v>83.64779874213836</v>
      </c>
      <c r="AM45" s="44">
        <f t="shared" si="21"/>
        <v>94.33962264150944</v>
      </c>
      <c r="AN45" s="44">
        <f t="shared" si="22"/>
        <v>81.76100628930818</v>
      </c>
      <c r="AO45" s="3"/>
      <c r="AP45" s="3"/>
      <c r="AQ45" s="4">
        <f t="shared" si="23"/>
        <v>48.42767295597484</v>
      </c>
      <c r="AR45" s="4">
        <f t="shared" si="24"/>
        <v>10.691823899371073</v>
      </c>
      <c r="AS45" s="4">
        <f t="shared" si="25"/>
        <v>-1.8867924528301785</v>
      </c>
      <c r="AT45" s="4">
        <f t="shared" si="26"/>
        <v>-12.578616352201252</v>
      </c>
      <c r="AU45" s="44"/>
    </row>
    <row r="46" spans="2:47" ht="12.75">
      <c r="B46" s="210" t="str">
        <f t="shared" si="27"/>
        <v>Control</v>
      </c>
      <c r="C46" s="209" t="s">
        <v>93</v>
      </c>
      <c r="D46" s="176">
        <v>10.863284349957977</v>
      </c>
      <c r="E46" s="19">
        <v>424.9614112091467</v>
      </c>
      <c r="F46" s="19">
        <v>406.0570085094188</v>
      </c>
      <c r="G46" s="19">
        <v>408.3758886153855</v>
      </c>
      <c r="H46" s="19">
        <v>427.12302888663174</v>
      </c>
      <c r="J46" s="3"/>
      <c r="K46" s="4">
        <f t="shared" si="5"/>
        <v>-18.90440269972794</v>
      </c>
      <c r="L46" s="4">
        <f t="shared" si="6"/>
        <v>2.318880105966741</v>
      </c>
      <c r="M46" s="4">
        <f t="shared" si="7"/>
        <v>21.066020377212965</v>
      </c>
      <c r="N46" s="4">
        <f t="shared" si="8"/>
        <v>18.747140271246224</v>
      </c>
      <c r="O46" s="4"/>
      <c r="R46" s="210" t="str">
        <f t="shared" si="9"/>
        <v>Control</v>
      </c>
      <c r="S46" s="209" t="str">
        <f t="shared" si="10"/>
        <v>Casey</v>
      </c>
      <c r="T46" s="184">
        <f t="shared" si="28"/>
        <v>10.863284349957977</v>
      </c>
      <c r="U46" s="4">
        <f t="shared" si="11"/>
        <v>605.1998367647157</v>
      </c>
      <c r="V46" s="4">
        <f t="shared" si="12"/>
        <v>600.6493564792291</v>
      </c>
      <c r="W46" s="4">
        <f t="shared" si="13"/>
        <v>601.2188045897772</v>
      </c>
      <c r="X46" s="4">
        <f t="shared" si="14"/>
        <v>605.7072095585198</v>
      </c>
      <c r="Y46" s="4"/>
      <c r="Z46" s="4"/>
      <c r="AA46" s="4">
        <f t="shared" si="15"/>
        <v>-4.550480285486515</v>
      </c>
      <c r="AB46" s="4">
        <f t="shared" si="16"/>
        <v>0.5694481105480236</v>
      </c>
      <c r="AC46" s="4">
        <f t="shared" si="17"/>
        <v>5.05785307929068</v>
      </c>
      <c r="AD46" s="4">
        <f t="shared" si="18"/>
        <v>4.488404968742657</v>
      </c>
      <c r="AE46" s="4"/>
      <c r="AH46" s="210" t="str">
        <f t="shared" si="3"/>
        <v>Control</v>
      </c>
      <c r="AI46" s="209" t="str">
        <f t="shared" si="4"/>
        <v>Casey</v>
      </c>
      <c r="AJ46" s="184">
        <f t="shared" si="29"/>
        <v>10.863284349957977</v>
      </c>
      <c r="AK46" s="44">
        <f t="shared" si="19"/>
        <v>82.38993710691824</v>
      </c>
      <c r="AL46" s="44">
        <f t="shared" si="20"/>
        <v>50.943396226415096</v>
      </c>
      <c r="AM46" s="44">
        <f t="shared" si="21"/>
        <v>54.088050314465406</v>
      </c>
      <c r="AN46" s="44">
        <f t="shared" si="22"/>
        <v>84.27672955974843</v>
      </c>
      <c r="AO46" s="3"/>
      <c r="AP46" s="3"/>
      <c r="AQ46" s="4">
        <f t="shared" si="23"/>
        <v>-31.446540880503143</v>
      </c>
      <c r="AR46" s="4">
        <f t="shared" si="24"/>
        <v>3.1446540880503093</v>
      </c>
      <c r="AS46" s="4">
        <f t="shared" si="25"/>
        <v>33.333333333333336</v>
      </c>
      <c r="AT46" s="4">
        <f t="shared" si="26"/>
        <v>30.188679245283026</v>
      </c>
      <c r="AU46" s="44"/>
    </row>
    <row r="47" spans="2:47" ht="12.75">
      <c r="B47" s="210" t="str">
        <f t="shared" si="27"/>
        <v>Control</v>
      </c>
      <c r="C47" s="209" t="s">
        <v>29</v>
      </c>
      <c r="D47" s="176">
        <v>5.3635668190665875</v>
      </c>
      <c r="E47" s="19">
        <v>368.4376399898988</v>
      </c>
      <c r="F47" s="19">
        <v>375.2306890233771</v>
      </c>
      <c r="G47" s="19">
        <v>395.08299236315474</v>
      </c>
      <c r="H47" s="19">
        <v>383.26999824435825</v>
      </c>
      <c r="J47" s="3"/>
      <c r="K47" s="4">
        <f t="shared" si="5"/>
        <v>6.793049033478326</v>
      </c>
      <c r="L47" s="4">
        <f t="shared" si="6"/>
        <v>19.85230333977762</v>
      </c>
      <c r="M47" s="4">
        <f t="shared" si="7"/>
        <v>8.039309220981124</v>
      </c>
      <c r="N47" s="4">
        <f t="shared" si="8"/>
        <v>-11.812994118796496</v>
      </c>
      <c r="O47" s="4"/>
      <c r="R47" s="210" t="str">
        <f t="shared" si="9"/>
        <v>Control</v>
      </c>
      <c r="S47" s="209" t="str">
        <f t="shared" si="10"/>
        <v>Chris</v>
      </c>
      <c r="T47" s="184">
        <f t="shared" si="28"/>
        <v>5.3635668190665875</v>
      </c>
      <c r="U47" s="4">
        <f t="shared" si="11"/>
        <v>590.9271470687238</v>
      </c>
      <c r="V47" s="4">
        <f t="shared" si="12"/>
        <v>592.7541007559469</v>
      </c>
      <c r="W47" s="4">
        <f t="shared" si="13"/>
        <v>597.9095850080178</v>
      </c>
      <c r="X47" s="4">
        <f t="shared" si="14"/>
        <v>594.8739697067293</v>
      </c>
      <c r="Y47" s="4"/>
      <c r="Z47" s="4"/>
      <c r="AA47" s="4">
        <f t="shared" si="15"/>
        <v>1.8269536872230674</v>
      </c>
      <c r="AB47" s="4">
        <f t="shared" si="16"/>
        <v>5.155484252070892</v>
      </c>
      <c r="AC47" s="4">
        <f t="shared" si="17"/>
        <v>2.119868950782461</v>
      </c>
      <c r="AD47" s="4">
        <f t="shared" si="18"/>
        <v>-3.0356153012884306</v>
      </c>
      <c r="AE47" s="4"/>
      <c r="AH47" s="210" t="str">
        <f t="shared" si="3"/>
        <v>Control</v>
      </c>
      <c r="AI47" s="209" t="str">
        <f t="shared" si="4"/>
        <v>Chris</v>
      </c>
      <c r="AJ47" s="184">
        <f t="shared" si="29"/>
        <v>5.3635668190665875</v>
      </c>
      <c r="AK47" s="44">
        <f t="shared" si="19"/>
        <v>5.031446540880504</v>
      </c>
      <c r="AL47" s="44">
        <f t="shared" si="20"/>
        <v>10.062893081761008</v>
      </c>
      <c r="AM47" s="44">
        <f t="shared" si="21"/>
        <v>37.10691823899371</v>
      </c>
      <c r="AN47" s="44">
        <f t="shared" si="22"/>
        <v>18.238993710691823</v>
      </c>
      <c r="AO47" s="3"/>
      <c r="AP47" s="3"/>
      <c r="AQ47" s="4">
        <f t="shared" si="23"/>
        <v>5.031446540880504</v>
      </c>
      <c r="AR47" s="4">
        <f t="shared" si="24"/>
        <v>27.0440251572327</v>
      </c>
      <c r="AS47" s="4">
        <f t="shared" si="25"/>
        <v>8.176100628930815</v>
      </c>
      <c r="AT47" s="4">
        <f t="shared" si="26"/>
        <v>-18.867924528301884</v>
      </c>
      <c r="AU47" s="44"/>
    </row>
    <row r="48" spans="2:47" ht="12.75">
      <c r="B48" s="210" t="str">
        <f t="shared" si="27"/>
        <v>Control</v>
      </c>
      <c r="C48" s="209" t="s">
        <v>94</v>
      </c>
      <c r="D48" s="177">
        <v>8.885993469513656</v>
      </c>
      <c r="E48" s="19">
        <v>429.43286453096505</v>
      </c>
      <c r="F48" s="19">
        <v>423.95197430039144</v>
      </c>
      <c r="G48" s="19">
        <v>428.02019463232676</v>
      </c>
      <c r="H48" s="19">
        <v>445.51418970158915</v>
      </c>
      <c r="J48" s="3"/>
      <c r="K48" s="4">
        <f t="shared" si="5"/>
        <v>-5.480890230573607</v>
      </c>
      <c r="L48" s="4">
        <f t="shared" si="6"/>
        <v>4.068220331935322</v>
      </c>
      <c r="M48" s="4">
        <f t="shared" si="7"/>
        <v>21.562215401197705</v>
      </c>
      <c r="N48" s="4">
        <f>IF(AND(ISNUMBER(H48),ISNUMBER(G48)),H48-G48,"miss")</f>
        <v>17.493995069262382</v>
      </c>
      <c r="O48" s="4"/>
      <c r="R48" s="210" t="str">
        <f t="shared" si="9"/>
        <v>Control</v>
      </c>
      <c r="S48" s="209" t="str">
        <f t="shared" si="10"/>
        <v>Corey</v>
      </c>
      <c r="T48" s="184">
        <f t="shared" si="28"/>
        <v>8.885993469513656</v>
      </c>
      <c r="U48" s="4">
        <f t="shared" si="11"/>
        <v>606.2465418452064</v>
      </c>
      <c r="V48" s="4">
        <f t="shared" si="12"/>
        <v>604.9620180657181</v>
      </c>
      <c r="W48" s="4">
        <f t="shared" si="13"/>
        <v>605.9170378189069</v>
      </c>
      <c r="X48" s="4">
        <f t="shared" si="14"/>
        <v>609.9229097585644</v>
      </c>
      <c r="Y48" s="4"/>
      <c r="Z48" s="4"/>
      <c r="AA48" s="4">
        <f t="shared" si="15"/>
        <v>-1.2845237794882678</v>
      </c>
      <c r="AB48" s="4">
        <f t="shared" si="16"/>
        <v>0.9550197531888216</v>
      </c>
      <c r="AC48" s="4">
        <f t="shared" si="17"/>
        <v>4.960891692846303</v>
      </c>
      <c r="AD48" s="4">
        <f t="shared" si="18"/>
        <v>4.005871939657482</v>
      </c>
      <c r="AE48" s="4"/>
      <c r="AH48" s="210" t="str">
        <f t="shared" si="3"/>
        <v>Control</v>
      </c>
      <c r="AI48" s="209" t="str">
        <f t="shared" si="4"/>
        <v>Corey</v>
      </c>
      <c r="AJ48" s="184">
        <f t="shared" si="29"/>
        <v>8.885993469513656</v>
      </c>
      <c r="AK48" s="44">
        <f t="shared" si="19"/>
        <v>88.0503144654088</v>
      </c>
      <c r="AL48" s="44">
        <f t="shared" si="20"/>
        <v>80.50314465408806</v>
      </c>
      <c r="AM48" s="44">
        <f t="shared" si="21"/>
        <v>85.53459119496856</v>
      </c>
      <c r="AN48" s="44">
        <f t="shared" si="22"/>
        <v>95.59748427672956</v>
      </c>
      <c r="AO48" s="3"/>
      <c r="AP48" s="3"/>
      <c r="AQ48" s="4">
        <f t="shared" si="23"/>
        <v>-7.547169811320742</v>
      </c>
      <c r="AR48" s="4">
        <f t="shared" si="24"/>
        <v>5.031446540880495</v>
      </c>
      <c r="AS48" s="4">
        <f t="shared" si="25"/>
        <v>15.094339622641499</v>
      </c>
      <c r="AT48" s="4">
        <f t="shared" si="26"/>
        <v>10.062893081761004</v>
      </c>
      <c r="AU48" s="44"/>
    </row>
    <row r="49" spans="2:47" ht="12.75">
      <c r="B49" s="210" t="str">
        <f t="shared" si="27"/>
        <v>Control</v>
      </c>
      <c r="C49" s="209" t="s">
        <v>30</v>
      </c>
      <c r="D49" s="177">
        <v>9.231124604787459</v>
      </c>
      <c r="E49" s="19">
        <v>423.1700983399998</v>
      </c>
      <c r="F49" s="19">
        <v>415.90855812360314</v>
      </c>
      <c r="G49" s="19">
        <v>430.18168431335005</v>
      </c>
      <c r="H49" s="19">
        <v>416.8615588993694</v>
      </c>
      <c r="J49" s="3"/>
      <c r="K49" s="4">
        <f t="shared" si="5"/>
        <v>-7.261540216396668</v>
      </c>
      <c r="L49" s="4">
        <f t="shared" si="6"/>
        <v>14.273126189746904</v>
      </c>
      <c r="M49" s="4">
        <f t="shared" si="7"/>
        <v>0.9530007757662702</v>
      </c>
      <c r="N49" s="4">
        <f t="shared" si="8"/>
        <v>-13.320125413980634</v>
      </c>
      <c r="O49" s="4"/>
      <c r="R49" s="210" t="str">
        <f t="shared" si="9"/>
        <v>Control</v>
      </c>
      <c r="S49" s="209" t="str">
        <f t="shared" si="10"/>
        <v>Courtney</v>
      </c>
      <c r="T49" s="184">
        <f t="shared" si="28"/>
        <v>9.231124604787459</v>
      </c>
      <c r="U49" s="4">
        <f t="shared" si="11"/>
        <v>604.7774221951421</v>
      </c>
      <c r="V49" s="4">
        <f t="shared" si="12"/>
        <v>603.0465423896144</v>
      </c>
      <c r="W49" s="4">
        <f t="shared" si="13"/>
        <v>606.4207641109422</v>
      </c>
      <c r="X49" s="4">
        <f t="shared" si="14"/>
        <v>603.2754173629834</v>
      </c>
      <c r="Y49" s="4"/>
      <c r="Z49" s="4"/>
      <c r="AA49" s="4">
        <f t="shared" si="15"/>
        <v>-1.7308798055277066</v>
      </c>
      <c r="AB49" s="4">
        <f t="shared" si="16"/>
        <v>3.3742217213277854</v>
      </c>
      <c r="AC49" s="4">
        <f t="shared" si="17"/>
        <v>0.22887497336898832</v>
      </c>
      <c r="AD49" s="4">
        <f t="shared" si="18"/>
        <v>-3.145346747958797</v>
      </c>
      <c r="AE49" s="4"/>
      <c r="AH49" s="210" t="str">
        <f t="shared" si="3"/>
        <v>Control</v>
      </c>
      <c r="AI49" s="209" t="str">
        <f t="shared" si="4"/>
        <v>Courtney</v>
      </c>
      <c r="AJ49" s="184">
        <f t="shared" si="29"/>
        <v>9.231124604787459</v>
      </c>
      <c r="AK49" s="44">
        <f t="shared" si="19"/>
        <v>78.61635220125787</v>
      </c>
      <c r="AL49" s="44">
        <f t="shared" si="20"/>
        <v>67.9245283018868</v>
      </c>
      <c r="AM49" s="44">
        <f t="shared" si="21"/>
        <v>88.67924528301887</v>
      </c>
      <c r="AN49" s="44">
        <f t="shared" si="22"/>
        <v>69.81132075471697</v>
      </c>
      <c r="AO49" s="3"/>
      <c r="AP49" s="3"/>
      <c r="AQ49" s="4">
        <f t="shared" si="23"/>
        <v>-10.691823899371073</v>
      </c>
      <c r="AR49" s="4">
        <f t="shared" si="24"/>
        <v>20.754716981132077</v>
      </c>
      <c r="AS49" s="4">
        <f t="shared" si="25"/>
        <v>1.8867924528301785</v>
      </c>
      <c r="AT49" s="4">
        <f t="shared" si="26"/>
        <v>-18.8679245283019</v>
      </c>
      <c r="AU49" s="44"/>
    </row>
    <row r="50" spans="2:47" ht="12.75">
      <c r="B50" s="210" t="str">
        <f t="shared" si="27"/>
        <v>Control</v>
      </c>
      <c r="C50" s="209" t="s">
        <v>95</v>
      </c>
      <c r="D50" s="177">
        <v>5.849917790686511</v>
      </c>
      <c r="E50" s="19">
        <v>408.55184273282003</v>
      </c>
      <c r="F50" s="19">
        <v>421.9079636076508</v>
      </c>
      <c r="G50" s="19">
        <v>427.5708113979798</v>
      </c>
      <c r="H50" s="19">
        <v>430.3801176717776</v>
      </c>
      <c r="J50" s="3"/>
      <c r="K50" s="4">
        <f t="shared" si="5"/>
        <v>13.356120874830765</v>
      </c>
      <c r="L50" s="4">
        <f t="shared" si="6"/>
        <v>5.66284779032901</v>
      </c>
      <c r="M50" s="4">
        <f t="shared" si="7"/>
        <v>8.472154064126812</v>
      </c>
      <c r="N50" s="4">
        <f t="shared" si="8"/>
        <v>2.8093062737978016</v>
      </c>
      <c r="O50" s="4"/>
      <c r="R50" s="210" t="str">
        <f t="shared" si="9"/>
        <v>Control</v>
      </c>
      <c r="S50" s="209" t="str">
        <f t="shared" si="10"/>
        <v>Devon</v>
      </c>
      <c r="T50" s="184">
        <f t="shared" si="28"/>
        <v>5.849917790686511</v>
      </c>
      <c r="U50" s="4">
        <f t="shared" si="11"/>
        <v>601.2618816242328</v>
      </c>
      <c r="V50" s="4">
        <f t="shared" si="12"/>
        <v>604.4787194533214</v>
      </c>
      <c r="W50" s="4">
        <f t="shared" si="13"/>
        <v>605.8119915356938</v>
      </c>
      <c r="X50" s="4">
        <f t="shared" si="14"/>
        <v>606.4668812780036</v>
      </c>
      <c r="Y50" s="4"/>
      <c r="Z50" s="4"/>
      <c r="AA50" s="4">
        <f t="shared" si="15"/>
        <v>3.216837829088604</v>
      </c>
      <c r="AB50" s="4">
        <f t="shared" si="16"/>
        <v>1.333272082372332</v>
      </c>
      <c r="AC50" s="4">
        <f t="shared" si="17"/>
        <v>1.9881618246821517</v>
      </c>
      <c r="AD50" s="4">
        <f t="shared" si="18"/>
        <v>0.6548897423098197</v>
      </c>
      <c r="AE50" s="4"/>
      <c r="AH50" s="210" t="str">
        <f t="shared" si="3"/>
        <v>Control</v>
      </c>
      <c r="AI50" s="209" t="str">
        <f t="shared" si="4"/>
        <v>Devon</v>
      </c>
      <c r="AJ50" s="184">
        <f t="shared" si="29"/>
        <v>5.849917790686511</v>
      </c>
      <c r="AK50" s="44">
        <f t="shared" si="19"/>
        <v>54.71698113207547</v>
      </c>
      <c r="AL50" s="44">
        <f t="shared" si="20"/>
        <v>77.35849056603774</v>
      </c>
      <c r="AM50" s="44">
        <f t="shared" si="21"/>
        <v>84.90566037735849</v>
      </c>
      <c r="AN50" s="44">
        <f t="shared" si="22"/>
        <v>89.30817610062893</v>
      </c>
      <c r="AO50" s="3"/>
      <c r="AP50" s="3"/>
      <c r="AQ50" s="4">
        <f t="shared" si="23"/>
        <v>22.641509433962277</v>
      </c>
      <c r="AR50" s="4">
        <f t="shared" si="24"/>
        <v>7.547169811320742</v>
      </c>
      <c r="AS50" s="4">
        <f t="shared" si="25"/>
        <v>11.949685534591183</v>
      </c>
      <c r="AT50" s="4">
        <f t="shared" si="26"/>
        <v>4.40251572327044</v>
      </c>
      <c r="AU50" s="44"/>
    </row>
    <row r="51" spans="2:47" ht="12.75">
      <c r="B51" s="210" t="str">
        <f t="shared" si="27"/>
        <v>Control</v>
      </c>
      <c r="C51" s="209" t="s">
        <v>31</v>
      </c>
      <c r="D51" s="177">
        <v>11.343867989039783</v>
      </c>
      <c r="E51" s="19">
        <v>377.24395794199415</v>
      </c>
      <c r="F51" s="19">
        <v>386.44377575742067</v>
      </c>
      <c r="G51" s="19">
        <v>377.32999470417485</v>
      </c>
      <c r="H51" s="19">
        <v>381.1451054606718</v>
      </c>
      <c r="J51" s="3"/>
      <c r="K51" s="4">
        <f t="shared" si="5"/>
        <v>9.199817815426513</v>
      </c>
      <c r="L51" s="4">
        <f t="shared" si="6"/>
        <v>-9.113781053245816</v>
      </c>
      <c r="M51" s="4">
        <f t="shared" si="7"/>
        <v>-5.298670296748867</v>
      </c>
      <c r="N51" s="4">
        <f t="shared" si="8"/>
        <v>3.8151107564969493</v>
      </c>
      <c r="O51" s="4"/>
      <c r="R51" s="210" t="str">
        <f t="shared" si="9"/>
        <v>Control</v>
      </c>
      <c r="S51" s="209" t="str">
        <f t="shared" si="10"/>
        <v>Drew</v>
      </c>
      <c r="T51" s="184">
        <f t="shared" si="28"/>
        <v>11.343867989039783</v>
      </c>
      <c r="U51" s="4">
        <f t="shared" si="11"/>
        <v>593.2892081461367</v>
      </c>
      <c r="V51" s="4">
        <f t="shared" si="12"/>
        <v>595.698638721906</v>
      </c>
      <c r="W51" s="4">
        <f t="shared" si="13"/>
        <v>593.3120122098742</v>
      </c>
      <c r="X51" s="4">
        <f t="shared" si="14"/>
        <v>594.3180156847624</v>
      </c>
      <c r="Y51" s="4"/>
      <c r="Z51" s="4"/>
      <c r="AA51" s="4">
        <f t="shared" si="15"/>
        <v>2.4094305757693064</v>
      </c>
      <c r="AB51" s="4">
        <f t="shared" si="16"/>
        <v>-2.386626512031853</v>
      </c>
      <c r="AC51" s="4">
        <f t="shared" si="17"/>
        <v>-1.380623037143664</v>
      </c>
      <c r="AD51" s="4">
        <f t="shared" si="18"/>
        <v>1.006003474888189</v>
      </c>
      <c r="AE51" s="4"/>
      <c r="AH51" s="210" t="str">
        <f t="shared" si="3"/>
        <v>Control</v>
      </c>
      <c r="AI51" s="209" t="str">
        <f t="shared" si="4"/>
        <v>Drew</v>
      </c>
      <c r="AJ51" s="184">
        <f t="shared" si="29"/>
        <v>11.343867989039783</v>
      </c>
      <c r="AK51" s="44">
        <f t="shared" si="19"/>
        <v>12.578616352201259</v>
      </c>
      <c r="AL51" s="44">
        <f t="shared" si="20"/>
        <v>23.270440251572328</v>
      </c>
      <c r="AM51" s="44">
        <f t="shared" si="21"/>
        <v>13.20754716981132</v>
      </c>
      <c r="AN51" s="44">
        <f t="shared" si="22"/>
        <v>15.09433962264151</v>
      </c>
      <c r="AO51" s="3"/>
      <c r="AP51" s="3"/>
      <c r="AQ51" s="4">
        <f t="shared" si="23"/>
        <v>10.69182389937107</v>
      </c>
      <c r="AR51" s="4">
        <f t="shared" si="24"/>
        <v>-10.062893081761008</v>
      </c>
      <c r="AS51" s="4">
        <f t="shared" si="25"/>
        <v>-8.176100628930818</v>
      </c>
      <c r="AT51" s="4">
        <f t="shared" si="26"/>
        <v>1.8867924528301891</v>
      </c>
      <c r="AU51" s="44"/>
    </row>
    <row r="52" spans="2:47" ht="12.75">
      <c r="B52" s="210" t="str">
        <f t="shared" si="27"/>
        <v>Control</v>
      </c>
      <c r="C52" s="209" t="s">
        <v>43</v>
      </c>
      <c r="D52" s="177">
        <v>14.069884777911053</v>
      </c>
      <c r="E52" s="19">
        <v>387.12390968129773</v>
      </c>
      <c r="F52" s="19">
        <v>376.9992450825455</v>
      </c>
      <c r="G52" s="19">
        <v>410.39869499577117</v>
      </c>
      <c r="H52" s="19">
        <v>382.4446173753281</v>
      </c>
      <c r="J52" s="3"/>
      <c r="K52" s="4">
        <f t="shared" si="5"/>
        <v>-10.124664598752247</v>
      </c>
      <c r="L52" s="4">
        <f t="shared" si="6"/>
        <v>33.39944991322568</v>
      </c>
      <c r="M52" s="4">
        <f t="shared" si="7"/>
        <v>5.445372292782622</v>
      </c>
      <c r="N52" s="4">
        <f t="shared" si="8"/>
        <v>-27.95407762044306</v>
      </c>
      <c r="O52" s="4"/>
      <c r="R52" s="210" t="str">
        <f t="shared" si="9"/>
        <v>Control</v>
      </c>
      <c r="S52" s="209" t="str">
        <f t="shared" si="10"/>
        <v>Dylan</v>
      </c>
      <c r="T52" s="184">
        <f t="shared" si="28"/>
        <v>14.069884777911053</v>
      </c>
      <c r="U52" s="4">
        <f t="shared" si="11"/>
        <v>595.874482183812</v>
      </c>
      <c r="V52" s="4">
        <f t="shared" si="12"/>
        <v>593.2243185012439</v>
      </c>
      <c r="W52" s="4">
        <f t="shared" si="13"/>
        <v>601.7129114016639</v>
      </c>
      <c r="X52" s="4">
        <f t="shared" si="14"/>
        <v>594.6583851607724</v>
      </c>
      <c r="Y52" s="4"/>
      <c r="Z52" s="4"/>
      <c r="AA52" s="4">
        <f t="shared" si="15"/>
        <v>-2.6501636825680635</v>
      </c>
      <c r="AB52" s="4">
        <f t="shared" si="16"/>
        <v>8.488592900419917</v>
      </c>
      <c r="AC52" s="4">
        <f t="shared" si="17"/>
        <v>1.434066659528412</v>
      </c>
      <c r="AD52" s="4">
        <f t="shared" si="18"/>
        <v>-7.054526240891505</v>
      </c>
      <c r="AE52" s="4"/>
      <c r="AH52" s="210" t="str">
        <f t="shared" si="3"/>
        <v>Control</v>
      </c>
      <c r="AI52" s="209" t="str">
        <f t="shared" si="4"/>
        <v>Dylan</v>
      </c>
      <c r="AJ52" s="184">
        <f t="shared" si="29"/>
        <v>14.069884777911053</v>
      </c>
      <c r="AK52" s="44">
        <f t="shared" si="19"/>
        <v>24.528301886792452</v>
      </c>
      <c r="AL52" s="44">
        <f t="shared" si="20"/>
        <v>11.949685534591195</v>
      </c>
      <c r="AM52" s="44">
        <f t="shared" si="21"/>
        <v>58.490566037735846</v>
      </c>
      <c r="AN52" s="44">
        <f t="shared" si="22"/>
        <v>16.9811320754717</v>
      </c>
      <c r="AO52" s="3"/>
      <c r="AP52" s="3"/>
      <c r="AQ52" s="4">
        <f t="shared" si="23"/>
        <v>-12.578616352201257</v>
      </c>
      <c r="AR52" s="4">
        <f t="shared" si="24"/>
        <v>46.54088050314465</v>
      </c>
      <c r="AS52" s="4">
        <f t="shared" si="25"/>
        <v>5.031446540880504</v>
      </c>
      <c r="AT52" s="4">
        <f t="shared" si="26"/>
        <v>-41.50943396226415</v>
      </c>
      <c r="AU52" s="44"/>
    </row>
    <row r="53" spans="2:47" ht="12.75">
      <c r="B53" s="210" t="str">
        <f t="shared" si="27"/>
        <v>Control</v>
      </c>
      <c r="C53" s="209" t="s">
        <v>96</v>
      </c>
      <c r="D53" s="177">
        <v>10.43969171657706</v>
      </c>
      <c r="E53" s="19">
        <v>399.2480356873991</v>
      </c>
      <c r="F53" s="19">
        <v>417.9983750130086</v>
      </c>
      <c r="G53" s="19">
        <v>432.8147209798462</v>
      </c>
      <c r="H53" s="19">
        <v>418.5473889663686</v>
      </c>
      <c r="J53" s="3"/>
      <c r="K53" s="4">
        <f t="shared" si="5"/>
        <v>18.750339325609502</v>
      </c>
      <c r="L53" s="4">
        <f t="shared" si="6"/>
        <v>14.81634596683756</v>
      </c>
      <c r="M53" s="4">
        <f t="shared" si="7"/>
        <v>0.5490139533599745</v>
      </c>
      <c r="N53" s="4">
        <f t="shared" si="8"/>
        <v>-14.267332013477585</v>
      </c>
      <c r="O53" s="4"/>
      <c r="R53" s="210" t="str">
        <f t="shared" si="9"/>
        <v>Control</v>
      </c>
      <c r="S53" s="209" t="str">
        <f t="shared" si="10"/>
        <v>Frances</v>
      </c>
      <c r="T53" s="184">
        <f t="shared" si="28"/>
        <v>10.43969171657706</v>
      </c>
      <c r="U53" s="4">
        <f t="shared" si="11"/>
        <v>598.9582867076505</v>
      </c>
      <c r="V53" s="4">
        <f t="shared" si="12"/>
        <v>603.5477544988512</v>
      </c>
      <c r="W53" s="4">
        <f t="shared" si="13"/>
        <v>607.0309740308373</v>
      </c>
      <c r="X53" s="4">
        <f t="shared" si="14"/>
        <v>603.6790118802935</v>
      </c>
      <c r="Y53" s="4"/>
      <c r="Z53" s="4"/>
      <c r="AA53" s="4">
        <f t="shared" si="15"/>
        <v>4.589467791200718</v>
      </c>
      <c r="AB53" s="4">
        <f t="shared" si="16"/>
        <v>3.483219531986151</v>
      </c>
      <c r="AC53" s="4">
        <f t="shared" si="17"/>
        <v>0.13125738144231036</v>
      </c>
      <c r="AD53" s="4">
        <f t="shared" si="18"/>
        <v>-3.351962150543841</v>
      </c>
      <c r="AE53" s="4"/>
      <c r="AH53" s="210" t="str">
        <f t="shared" si="3"/>
        <v>Control</v>
      </c>
      <c r="AI53" s="209" t="str">
        <f t="shared" si="4"/>
        <v>Frances</v>
      </c>
      <c r="AJ53" s="184">
        <f t="shared" si="29"/>
        <v>10.43969171657706</v>
      </c>
      <c r="AK53" s="44">
        <f t="shared" si="19"/>
        <v>41.509433962264154</v>
      </c>
      <c r="AL53" s="44">
        <f t="shared" si="20"/>
        <v>70.44025157232704</v>
      </c>
      <c r="AM53" s="44">
        <f t="shared" si="21"/>
        <v>90.56603773584906</v>
      </c>
      <c r="AN53" s="44">
        <f t="shared" si="22"/>
        <v>71.69811320754717</v>
      </c>
      <c r="AO53" s="3"/>
      <c r="AP53" s="3"/>
      <c r="AQ53" s="4">
        <f t="shared" si="23"/>
        <v>28.93081761006289</v>
      </c>
      <c r="AR53" s="4">
        <f t="shared" si="24"/>
        <v>20.125786163522022</v>
      </c>
      <c r="AS53" s="4">
        <f t="shared" si="25"/>
        <v>1.2578616352201237</v>
      </c>
      <c r="AT53" s="4">
        <f t="shared" si="26"/>
        <v>-18.8679245283019</v>
      </c>
      <c r="AU53" s="44"/>
    </row>
    <row r="54" spans="2:47" ht="12.75">
      <c r="B54" s="210" t="str">
        <f t="shared" si="27"/>
        <v>Control</v>
      </c>
      <c r="C54" s="209" t="s">
        <v>97</v>
      </c>
      <c r="D54" s="177">
        <v>11.606240650890557</v>
      </c>
      <c r="E54" s="19">
        <v>394.2631816130159</v>
      </c>
      <c r="F54" s="19">
        <v>387.74945590483304</v>
      </c>
      <c r="G54" s="19">
        <v>380.3588085575269</v>
      </c>
      <c r="H54" s="19">
        <v>386.3156641318655</v>
      </c>
      <c r="J54" s="3"/>
      <c r="K54" s="4">
        <f t="shared" si="5"/>
        <v>-6.513725708182847</v>
      </c>
      <c r="L54" s="4">
        <f t="shared" si="6"/>
        <v>-7.390647347306128</v>
      </c>
      <c r="M54" s="4">
        <f t="shared" si="7"/>
        <v>-1.4337917729675382</v>
      </c>
      <c r="N54" s="4">
        <f t="shared" si="8"/>
        <v>5.95685557433859</v>
      </c>
      <c r="O54" s="4"/>
      <c r="R54" s="210" t="str">
        <f t="shared" si="9"/>
        <v>Control</v>
      </c>
      <c r="S54" s="209" t="str">
        <f t="shared" si="10"/>
        <v>Gene</v>
      </c>
      <c r="T54" s="184">
        <f t="shared" si="28"/>
        <v>11.606240650890557</v>
      </c>
      <c r="U54" s="4">
        <f t="shared" si="11"/>
        <v>597.7018659939938</v>
      </c>
      <c r="V54" s="4">
        <f t="shared" si="12"/>
        <v>596.0359398844402</v>
      </c>
      <c r="W54" s="4">
        <f t="shared" si="13"/>
        <v>594.1115040258952</v>
      </c>
      <c r="X54" s="4">
        <f t="shared" si="14"/>
        <v>595.6654817987769</v>
      </c>
      <c r="Y54" s="4"/>
      <c r="Z54" s="4"/>
      <c r="AA54" s="4">
        <f t="shared" si="15"/>
        <v>-1.6659261095536522</v>
      </c>
      <c r="AB54" s="4">
        <f t="shared" si="16"/>
        <v>-1.924435858544939</v>
      </c>
      <c r="AC54" s="4">
        <f t="shared" si="17"/>
        <v>-0.3704580856632447</v>
      </c>
      <c r="AD54" s="4">
        <f t="shared" si="18"/>
        <v>1.5539777728816944</v>
      </c>
      <c r="AE54" s="4"/>
      <c r="AH54" s="210" t="str">
        <f t="shared" si="3"/>
        <v>Control</v>
      </c>
      <c r="AI54" s="209" t="str">
        <f t="shared" si="4"/>
        <v>Gene</v>
      </c>
      <c r="AJ54" s="184">
        <f t="shared" si="29"/>
        <v>11.606240650890557</v>
      </c>
      <c r="AK54" s="44">
        <f t="shared" si="19"/>
        <v>36.477987421383645</v>
      </c>
      <c r="AL54" s="44">
        <f t="shared" si="20"/>
        <v>25.78616352201258</v>
      </c>
      <c r="AM54" s="44">
        <f t="shared" si="21"/>
        <v>14.465408805031446</v>
      </c>
      <c r="AN54" s="44">
        <f t="shared" si="22"/>
        <v>22.641509433962266</v>
      </c>
      <c r="AO54" s="3"/>
      <c r="AP54" s="3"/>
      <c r="AQ54" s="4">
        <f t="shared" si="23"/>
        <v>-10.691823899371066</v>
      </c>
      <c r="AR54" s="4">
        <f t="shared" si="24"/>
        <v>-11.320754716981133</v>
      </c>
      <c r="AS54" s="4">
        <f t="shared" si="25"/>
        <v>-3.144654088050313</v>
      </c>
      <c r="AT54" s="4">
        <f t="shared" si="26"/>
        <v>8.17610062893082</v>
      </c>
      <c r="AU54" s="44"/>
    </row>
    <row r="55" spans="2:47" ht="12.75">
      <c r="B55" s="210" t="str">
        <f t="shared" si="27"/>
        <v>Control</v>
      </c>
      <c r="C55" s="209" t="s">
        <v>98</v>
      </c>
      <c r="D55" s="177">
        <v>12.702293837857102</v>
      </c>
      <c r="E55" s="19">
        <v>409.5633884791072</v>
      </c>
      <c r="F55" s="19">
        <v>402.4557431250879</v>
      </c>
      <c r="G55" s="19">
        <v>420.088334360205</v>
      </c>
      <c r="H55" s="19">
        <v>387.2128838161783</v>
      </c>
      <c r="J55" s="3"/>
      <c r="K55" s="4">
        <f t="shared" si="5"/>
        <v>-7.107645354019269</v>
      </c>
      <c r="L55" s="4">
        <f t="shared" si="6"/>
        <v>17.632591235117104</v>
      </c>
      <c r="M55" s="4">
        <f t="shared" si="7"/>
        <v>-15.242859308909601</v>
      </c>
      <c r="N55" s="4">
        <f t="shared" si="8"/>
        <v>-32.875450544026705</v>
      </c>
      <c r="O55" s="4"/>
      <c r="R55" s="210" t="str">
        <f t="shared" si="9"/>
        <v>Control</v>
      </c>
      <c r="S55" s="209" t="str">
        <f t="shared" si="10"/>
        <v>Jaimie</v>
      </c>
      <c r="T55" s="184">
        <f t="shared" si="28"/>
        <v>12.702293837857102</v>
      </c>
      <c r="U55" s="4">
        <f t="shared" si="11"/>
        <v>601.5091686134417</v>
      </c>
      <c r="V55" s="4">
        <f t="shared" si="12"/>
        <v>599.7585135844402</v>
      </c>
      <c r="W55" s="4">
        <f t="shared" si="13"/>
        <v>604.0465009068533</v>
      </c>
      <c r="X55" s="4">
        <f t="shared" si="14"/>
        <v>595.8974629167486</v>
      </c>
      <c r="Y55" s="4"/>
      <c r="Z55" s="4"/>
      <c r="AA55" s="4">
        <f t="shared" si="15"/>
        <v>-1.750655029001564</v>
      </c>
      <c r="AB55" s="4">
        <f t="shared" si="16"/>
        <v>4.287987322413187</v>
      </c>
      <c r="AC55" s="4">
        <f t="shared" si="17"/>
        <v>-3.8610506676915293</v>
      </c>
      <c r="AD55" s="4">
        <f t="shared" si="18"/>
        <v>-8.149037990104716</v>
      </c>
      <c r="AE55" s="4"/>
      <c r="AH55" s="210" t="str">
        <f t="shared" si="3"/>
        <v>Control</v>
      </c>
      <c r="AI55" s="209" t="str">
        <f t="shared" si="4"/>
        <v>Jaimie</v>
      </c>
      <c r="AJ55" s="184">
        <f t="shared" si="29"/>
        <v>12.702293837857102</v>
      </c>
      <c r="AK55" s="44">
        <f t="shared" si="19"/>
        <v>57.861635220125784</v>
      </c>
      <c r="AL55" s="44">
        <f t="shared" si="20"/>
        <v>45.28301886792453</v>
      </c>
      <c r="AM55" s="44">
        <f t="shared" si="21"/>
        <v>74.21383647798741</v>
      </c>
      <c r="AN55" s="44">
        <f t="shared" si="22"/>
        <v>25.157232704402517</v>
      </c>
      <c r="AO55" s="3"/>
      <c r="AP55" s="3"/>
      <c r="AQ55" s="4">
        <f t="shared" si="23"/>
        <v>-12.578616352201252</v>
      </c>
      <c r="AR55" s="4">
        <f t="shared" si="24"/>
        <v>28.93081761006288</v>
      </c>
      <c r="AS55" s="4">
        <f t="shared" si="25"/>
        <v>-20.125786163522015</v>
      </c>
      <c r="AT55" s="4">
        <f t="shared" si="26"/>
        <v>-49.0566037735849</v>
      </c>
      <c r="AU55" s="44"/>
    </row>
    <row r="56" spans="2:47" ht="12.75">
      <c r="B56" s="210" t="str">
        <f t="shared" si="27"/>
        <v>Control</v>
      </c>
      <c r="C56" s="209" t="s">
        <v>99</v>
      </c>
      <c r="D56" s="177">
        <v>13.843325619119696</v>
      </c>
      <c r="E56" s="19">
        <v>422.1072997361529</v>
      </c>
      <c r="F56" s="19">
        <v>420.7154646756671</v>
      </c>
      <c r="G56" s="19">
        <v>425.98064329401933</v>
      </c>
      <c r="H56" s="19">
        <v>418.06747841982</v>
      </c>
      <c r="J56" s="3"/>
      <c r="K56" s="4">
        <f t="shared" si="5"/>
        <v>-1.391835060485846</v>
      </c>
      <c r="L56" s="4">
        <f t="shared" si="6"/>
        <v>5.265178618352252</v>
      </c>
      <c r="M56" s="4">
        <f t="shared" si="7"/>
        <v>-2.6479862558470586</v>
      </c>
      <c r="N56" s="4">
        <f t="shared" si="8"/>
        <v>-7.91316487419931</v>
      </c>
      <c r="O56" s="4"/>
      <c r="R56" s="210" t="str">
        <f t="shared" si="9"/>
        <v>Control</v>
      </c>
      <c r="S56" s="209" t="str">
        <f t="shared" si="10"/>
        <v>Jean</v>
      </c>
      <c r="T56" s="184">
        <f t="shared" si="28"/>
        <v>13.843325619119696</v>
      </c>
      <c r="U56" s="4">
        <f t="shared" si="11"/>
        <v>604.5259546493816</v>
      </c>
      <c r="V56" s="4">
        <f t="shared" si="12"/>
        <v>604.1956749311564</v>
      </c>
      <c r="W56" s="4">
        <f t="shared" si="13"/>
        <v>605.4393906960071</v>
      </c>
      <c r="X56" s="4">
        <f t="shared" si="14"/>
        <v>603.5642851122436</v>
      </c>
      <c r="Y56" s="4"/>
      <c r="Z56" s="4"/>
      <c r="AA56" s="4">
        <f t="shared" si="15"/>
        <v>-0.33027971822514246</v>
      </c>
      <c r="AB56" s="4">
        <f t="shared" si="16"/>
        <v>1.2437157648506627</v>
      </c>
      <c r="AC56" s="4">
        <f t="shared" si="17"/>
        <v>-0.631389818912794</v>
      </c>
      <c r="AD56" s="4">
        <f t="shared" si="18"/>
        <v>-1.8751055837634567</v>
      </c>
      <c r="AE56" s="4"/>
      <c r="AH56" s="210" t="str">
        <f t="shared" si="3"/>
        <v>Control</v>
      </c>
      <c r="AI56" s="209" t="str">
        <f t="shared" si="4"/>
        <v>Jean</v>
      </c>
      <c r="AJ56" s="184">
        <f t="shared" si="29"/>
        <v>13.843325619119696</v>
      </c>
      <c r="AK56" s="44">
        <f t="shared" si="19"/>
        <v>77.9874213836478</v>
      </c>
      <c r="AL56" s="44">
        <f t="shared" si="20"/>
        <v>75.47169811320755</v>
      </c>
      <c r="AM56" s="44">
        <f t="shared" si="21"/>
        <v>83.01886792452831</v>
      </c>
      <c r="AN56" s="44">
        <f t="shared" si="22"/>
        <v>71.0691823899371</v>
      </c>
      <c r="AO56" s="3"/>
      <c r="AP56" s="3"/>
      <c r="AQ56" s="4">
        <f t="shared" si="23"/>
        <v>-2.5157232704402475</v>
      </c>
      <c r="AR56" s="4">
        <f t="shared" si="24"/>
        <v>7.547169811320757</v>
      </c>
      <c r="AS56" s="4">
        <f t="shared" si="25"/>
        <v>-4.402515723270454</v>
      </c>
      <c r="AT56" s="4">
        <f t="shared" si="26"/>
        <v>-11.949685534591211</v>
      </c>
      <c r="AU56" s="44"/>
    </row>
    <row r="57" spans="2:47" ht="12.75">
      <c r="B57" s="210" t="str">
        <f t="shared" si="27"/>
        <v>Control</v>
      </c>
      <c r="C57" s="209" t="s">
        <v>33</v>
      </c>
      <c r="D57" s="177">
        <v>17.65703663588971</v>
      </c>
      <c r="E57" s="19">
        <v>371.1965944194544</v>
      </c>
      <c r="F57" s="19">
        <v>366.9641011415273</v>
      </c>
      <c r="G57" s="19">
        <v>360.0434217633609</v>
      </c>
      <c r="H57" s="19">
        <v>360.8841217987793</v>
      </c>
      <c r="J57" s="3"/>
      <c r="K57" s="4">
        <f t="shared" si="5"/>
        <v>-4.232493277927119</v>
      </c>
      <c r="L57" s="4">
        <f t="shared" si="6"/>
        <v>-6.920679378166369</v>
      </c>
      <c r="M57" s="4">
        <f t="shared" si="7"/>
        <v>-6.079979342748004</v>
      </c>
      <c r="N57" s="4">
        <f t="shared" si="8"/>
        <v>0.8407000354183651</v>
      </c>
      <c r="O57" s="4"/>
      <c r="R57" s="210" t="str">
        <f t="shared" si="9"/>
        <v>Control</v>
      </c>
      <c r="S57" s="209" t="str">
        <f t="shared" si="10"/>
        <v>Jesse</v>
      </c>
      <c r="T57" s="184">
        <f t="shared" si="28"/>
        <v>17.65703663588971</v>
      </c>
      <c r="U57" s="4">
        <f t="shared" si="11"/>
        <v>591.6731826353403</v>
      </c>
      <c r="V57" s="4">
        <f t="shared" si="12"/>
        <v>590.5264026217111</v>
      </c>
      <c r="W57" s="4">
        <f t="shared" si="13"/>
        <v>588.6224640185966</v>
      </c>
      <c r="X57" s="4">
        <f t="shared" si="14"/>
        <v>588.8556914556693</v>
      </c>
      <c r="Y57" s="4"/>
      <c r="Z57" s="4"/>
      <c r="AA57" s="4">
        <f t="shared" si="15"/>
        <v>-1.1467800136291544</v>
      </c>
      <c r="AB57" s="4">
        <f t="shared" si="16"/>
        <v>-1.9039386031145114</v>
      </c>
      <c r="AC57" s="4">
        <f t="shared" si="17"/>
        <v>-1.6707111660417695</v>
      </c>
      <c r="AD57" s="4">
        <f t="shared" si="18"/>
        <v>0.23322743707274185</v>
      </c>
      <c r="AE57" s="4"/>
      <c r="AH57" s="210" t="str">
        <f t="shared" si="3"/>
        <v>Control</v>
      </c>
      <c r="AI57" s="209" t="str">
        <f t="shared" si="4"/>
        <v>Jesse</v>
      </c>
      <c r="AJ57" s="184">
        <f t="shared" si="29"/>
        <v>17.65703663588971</v>
      </c>
      <c r="AK57" s="44">
        <f t="shared" si="19"/>
        <v>6.289308176100629</v>
      </c>
      <c r="AL57" s="44">
        <f t="shared" si="20"/>
        <v>3.7735849056603774</v>
      </c>
      <c r="AM57" s="44">
        <f t="shared" si="21"/>
        <v>1.8867924528301887</v>
      </c>
      <c r="AN57" s="44">
        <f t="shared" si="22"/>
        <v>2.515723270440252</v>
      </c>
      <c r="AO57" s="3"/>
      <c r="AP57" s="3"/>
      <c r="AQ57" s="4">
        <f t="shared" si="23"/>
        <v>-2.515723270440252</v>
      </c>
      <c r="AR57" s="4">
        <f t="shared" si="24"/>
        <v>-1.8867924528301887</v>
      </c>
      <c r="AS57" s="4">
        <f t="shared" si="25"/>
        <v>-1.2578616352201255</v>
      </c>
      <c r="AT57" s="4">
        <f t="shared" si="26"/>
        <v>0.6289308176100632</v>
      </c>
      <c r="AU57" s="44"/>
    </row>
    <row r="58" spans="2:47" ht="12.75">
      <c r="B58" s="210" t="str">
        <f t="shared" si="27"/>
        <v>Control</v>
      </c>
      <c r="C58" s="209" t="s">
        <v>32</v>
      </c>
      <c r="D58" s="177">
        <v>4.331934358307244</v>
      </c>
      <c r="E58" s="19">
        <v>446.844361068516</v>
      </c>
      <c r="F58" s="19">
        <v>450.50108034494986</v>
      </c>
      <c r="G58" s="19">
        <v>447.9693015167181</v>
      </c>
      <c r="H58" s="19">
        <v>452.6467164201668</v>
      </c>
      <c r="J58" s="3"/>
      <c r="K58" s="4">
        <f t="shared" si="5"/>
        <v>3.6567192764338756</v>
      </c>
      <c r="L58" s="4">
        <f t="shared" si="6"/>
        <v>-2.5317788282317792</v>
      </c>
      <c r="M58" s="4">
        <f t="shared" si="7"/>
        <v>2.1456360752169417</v>
      </c>
      <c r="N58" s="4">
        <f t="shared" si="8"/>
        <v>4.677414903448721</v>
      </c>
      <c r="O58" s="4"/>
      <c r="R58" s="210" t="str">
        <f t="shared" si="9"/>
        <v>Control</v>
      </c>
      <c r="S58" s="209" t="str">
        <f t="shared" si="10"/>
        <v>Jo</v>
      </c>
      <c r="T58" s="184">
        <f t="shared" si="28"/>
        <v>4.331934358307244</v>
      </c>
      <c r="U58" s="4">
        <f t="shared" si="11"/>
        <v>610.2210348453866</v>
      </c>
      <c r="V58" s="4">
        <f t="shared" si="12"/>
        <v>611.0360475147514</v>
      </c>
      <c r="W58" s="4">
        <f t="shared" si="13"/>
        <v>610.4724706666967</v>
      </c>
      <c r="X58" s="4">
        <f t="shared" si="14"/>
        <v>611.5111945769803</v>
      </c>
      <c r="Y58" s="4"/>
      <c r="Z58" s="4"/>
      <c r="AA58" s="4">
        <f t="shared" si="15"/>
        <v>0.815012669364819</v>
      </c>
      <c r="AB58" s="4">
        <f t="shared" si="16"/>
        <v>-0.5635768480547085</v>
      </c>
      <c r="AC58" s="4">
        <f t="shared" si="17"/>
        <v>0.4751470622288707</v>
      </c>
      <c r="AD58" s="4">
        <f t="shared" si="18"/>
        <v>1.0387239102835792</v>
      </c>
      <c r="AE58" s="4"/>
      <c r="AH58" s="210" t="str">
        <f t="shared" si="3"/>
        <v>Control</v>
      </c>
      <c r="AI58" s="209" t="str">
        <f t="shared" si="4"/>
        <v>Jo</v>
      </c>
      <c r="AJ58" s="184">
        <f t="shared" si="29"/>
        <v>4.331934358307244</v>
      </c>
      <c r="AK58" s="44">
        <f t="shared" si="19"/>
        <v>96.85534591194968</v>
      </c>
      <c r="AL58" s="44">
        <f t="shared" si="20"/>
        <v>98.11320754716981</v>
      </c>
      <c r="AM58" s="44">
        <f t="shared" si="21"/>
        <v>97.48427672955975</v>
      </c>
      <c r="AN58" s="44">
        <f t="shared" si="22"/>
        <v>98.74213836477988</v>
      </c>
      <c r="AO58" s="3"/>
      <c r="AP58" s="3"/>
      <c r="AQ58" s="4">
        <f t="shared" si="23"/>
        <v>1.2578616352201237</v>
      </c>
      <c r="AR58" s="4">
        <f t="shared" si="24"/>
        <v>-0.6289308176100548</v>
      </c>
      <c r="AS58" s="4">
        <f t="shared" si="25"/>
        <v>0.628930817610069</v>
      </c>
      <c r="AT58" s="4">
        <f t="shared" si="26"/>
        <v>1.2578616352201237</v>
      </c>
      <c r="AU58" s="44"/>
    </row>
    <row r="59" spans="2:47" ht="12.75">
      <c r="B59" s="210" t="str">
        <f t="shared" si="27"/>
        <v>Control</v>
      </c>
      <c r="C59" s="209" t="s">
        <v>100</v>
      </c>
      <c r="D59" s="177">
        <v>5.468386492310149</v>
      </c>
      <c r="E59" s="19">
        <v>419.0555910144361</v>
      </c>
      <c r="F59" s="19">
        <v>408.9737168810733</v>
      </c>
      <c r="G59" s="19">
        <v>414.469429119546</v>
      </c>
      <c r="H59" s="19">
        <v>410.88402264062233</v>
      </c>
      <c r="J59" s="3"/>
      <c r="K59" s="4">
        <f t="shared" si="5"/>
        <v>-10.081874133362817</v>
      </c>
      <c r="L59" s="4">
        <f t="shared" si="6"/>
        <v>5.49571223847272</v>
      </c>
      <c r="M59" s="4">
        <f t="shared" si="7"/>
        <v>1.9103057595490327</v>
      </c>
      <c r="N59" s="4">
        <f t="shared" si="8"/>
        <v>-3.5854064789236872</v>
      </c>
      <c r="O59" s="4"/>
      <c r="R59" s="210" t="str">
        <f t="shared" si="9"/>
        <v>Control</v>
      </c>
      <c r="S59" s="209" t="str">
        <f t="shared" si="10"/>
        <v>Jody </v>
      </c>
      <c r="T59" s="184">
        <f t="shared" si="28"/>
        <v>5.468386492310149</v>
      </c>
      <c r="U59" s="4">
        <f t="shared" si="11"/>
        <v>603.8003586573643</v>
      </c>
      <c r="V59" s="4">
        <f t="shared" si="12"/>
        <v>601.3650892073451</v>
      </c>
      <c r="W59" s="4">
        <f t="shared" si="13"/>
        <v>602.6999218223441</v>
      </c>
      <c r="X59" s="4">
        <f t="shared" si="14"/>
        <v>601.831099131887</v>
      </c>
      <c r="Y59" s="4"/>
      <c r="Z59" s="4"/>
      <c r="AA59" s="4">
        <f t="shared" si="15"/>
        <v>-2.4352694500191774</v>
      </c>
      <c r="AB59" s="4">
        <f t="shared" si="16"/>
        <v>1.3348326149989589</v>
      </c>
      <c r="AC59" s="4">
        <f t="shared" si="17"/>
        <v>0.46600992454182233</v>
      </c>
      <c r="AD59" s="4">
        <f t="shared" si="18"/>
        <v>-0.8688226904571366</v>
      </c>
      <c r="AE59" s="4"/>
      <c r="AH59" s="210" t="str">
        <f t="shared" si="3"/>
        <v>Control</v>
      </c>
      <c r="AI59" s="209" t="str">
        <f t="shared" si="4"/>
        <v>Jody </v>
      </c>
      <c r="AJ59" s="184">
        <f t="shared" si="29"/>
        <v>5.468386492310149</v>
      </c>
      <c r="AK59" s="44">
        <f t="shared" si="19"/>
        <v>72.95597484276729</v>
      </c>
      <c r="AL59" s="44">
        <f t="shared" si="20"/>
        <v>55.34591194968554</v>
      </c>
      <c r="AM59" s="44">
        <f t="shared" si="21"/>
        <v>66.0377358490566</v>
      </c>
      <c r="AN59" s="44">
        <f t="shared" si="22"/>
        <v>59.11949685534591</v>
      </c>
      <c r="AO59" s="3"/>
      <c r="AP59" s="3"/>
      <c r="AQ59" s="4">
        <f t="shared" si="23"/>
        <v>-17.610062893081754</v>
      </c>
      <c r="AR59" s="4">
        <f t="shared" si="24"/>
        <v>10.691823899371066</v>
      </c>
      <c r="AS59" s="4">
        <f t="shared" si="25"/>
        <v>3.773584905660371</v>
      </c>
      <c r="AT59" s="4">
        <f t="shared" si="26"/>
        <v>-6.918238993710695</v>
      </c>
      <c r="AU59" s="44"/>
    </row>
    <row r="60" spans="2:47" ht="12.75">
      <c r="B60" s="210" t="str">
        <f t="shared" si="27"/>
        <v>Control</v>
      </c>
      <c r="C60" s="209" t="s">
        <v>101</v>
      </c>
      <c r="D60" s="177">
        <v>7.227288901636601</v>
      </c>
      <c r="E60" s="19">
        <v>413.0391685176077</v>
      </c>
      <c r="F60" s="19">
        <v>423.626668146454</v>
      </c>
      <c r="G60" s="19">
        <v>412.71207326913463</v>
      </c>
      <c r="H60" s="19">
        <v>413.3967116261102</v>
      </c>
      <c r="J60" s="3"/>
      <c r="K60" s="4">
        <f t="shared" si="5"/>
        <v>10.587499628846274</v>
      </c>
      <c r="L60" s="4">
        <f t="shared" si="6"/>
        <v>-10.91459487731936</v>
      </c>
      <c r="M60" s="4">
        <f t="shared" si="7"/>
        <v>-10.22995652034382</v>
      </c>
      <c r="N60" s="4">
        <f t="shared" si="8"/>
        <v>0.6846383569755403</v>
      </c>
      <c r="O60" s="4"/>
      <c r="R60" s="210" t="str">
        <f t="shared" si="9"/>
        <v>Control</v>
      </c>
      <c r="S60" s="209" t="str">
        <f t="shared" si="10"/>
        <v>Jordan</v>
      </c>
      <c r="T60" s="184">
        <f t="shared" si="28"/>
        <v>7.227288901636601</v>
      </c>
      <c r="U60" s="4">
        <f t="shared" si="11"/>
        <v>602.3542427489781</v>
      </c>
      <c r="V60" s="4">
        <f t="shared" si="12"/>
        <v>604.8852567709853</v>
      </c>
      <c r="W60" s="4">
        <f t="shared" si="13"/>
        <v>602.2750190677946</v>
      </c>
      <c r="X60" s="4">
        <f t="shared" si="14"/>
        <v>602.4407692755726</v>
      </c>
      <c r="Y60" s="4"/>
      <c r="Z60" s="4"/>
      <c r="AA60" s="4">
        <f t="shared" si="15"/>
        <v>2.5310140220071844</v>
      </c>
      <c r="AB60" s="4">
        <f t="shared" si="16"/>
        <v>-2.6102377031907054</v>
      </c>
      <c r="AC60" s="4">
        <f t="shared" si="17"/>
        <v>-2.444487495412659</v>
      </c>
      <c r="AD60" s="4">
        <f t="shared" si="18"/>
        <v>0.1657502077780464</v>
      </c>
      <c r="AE60" s="4"/>
      <c r="AH60" s="210" t="str">
        <f t="shared" si="3"/>
        <v>Control</v>
      </c>
      <c r="AI60" s="209" t="str">
        <f t="shared" si="4"/>
        <v>Jordan</v>
      </c>
      <c r="AJ60" s="184">
        <f t="shared" si="29"/>
        <v>7.227288901636601</v>
      </c>
      <c r="AK60" s="44">
        <f t="shared" si="19"/>
        <v>64.15094339622641</v>
      </c>
      <c r="AL60" s="44">
        <f t="shared" si="20"/>
        <v>79.24528301886792</v>
      </c>
      <c r="AM60" s="44">
        <f t="shared" si="21"/>
        <v>61.63522012578616</v>
      </c>
      <c r="AN60" s="44">
        <f t="shared" si="22"/>
        <v>64.77987421383648</v>
      </c>
      <c r="AO60" s="3"/>
      <c r="AP60" s="3"/>
      <c r="AQ60" s="4">
        <f t="shared" si="23"/>
        <v>15.094339622641513</v>
      </c>
      <c r="AR60" s="4">
        <f t="shared" si="24"/>
        <v>-17.61006289308176</v>
      </c>
      <c r="AS60" s="4">
        <f t="shared" si="25"/>
        <v>-14.465408805031444</v>
      </c>
      <c r="AT60" s="4">
        <f t="shared" si="26"/>
        <v>3.1446540880503164</v>
      </c>
      <c r="AU60" s="44"/>
    </row>
    <row r="61" spans="2:47" ht="12.75">
      <c r="B61" s="210" t="str">
        <f t="shared" si="27"/>
        <v>Control</v>
      </c>
      <c r="C61" s="209" t="s">
        <v>34</v>
      </c>
      <c r="D61" s="177">
        <v>7.084244013734355</v>
      </c>
      <c r="E61" s="19">
        <v>385.0350101773355</v>
      </c>
      <c r="F61" s="19">
        <v>393.2391394873918</v>
      </c>
      <c r="G61" s="19">
        <v>389.4878044724208</v>
      </c>
      <c r="H61" s="19">
        <v>400.81467951476833</v>
      </c>
      <c r="J61" s="3"/>
      <c r="K61" s="4">
        <f t="shared" si="5"/>
        <v>8.204129310056317</v>
      </c>
      <c r="L61" s="4">
        <f t="shared" si="6"/>
        <v>-3.751335014971005</v>
      </c>
      <c r="M61" s="4">
        <f t="shared" si="7"/>
        <v>7.575540027376519</v>
      </c>
      <c r="N61" s="4">
        <f t="shared" si="8"/>
        <v>11.326875042347524</v>
      </c>
      <c r="O61" s="4"/>
      <c r="R61" s="210" t="str">
        <f t="shared" si="9"/>
        <v>Control</v>
      </c>
      <c r="S61" s="209" t="str">
        <f t="shared" si="10"/>
        <v>Kelly</v>
      </c>
      <c r="T61" s="184">
        <f t="shared" si="28"/>
        <v>7.084244013734355</v>
      </c>
      <c r="U61" s="4">
        <f t="shared" si="11"/>
        <v>595.3334265678947</v>
      </c>
      <c r="V61" s="4">
        <f t="shared" si="12"/>
        <v>597.4417924233161</v>
      </c>
      <c r="W61" s="4">
        <f t="shared" si="13"/>
        <v>596.4832554095119</v>
      </c>
      <c r="X61" s="4">
        <f t="shared" si="14"/>
        <v>599.3499174635805</v>
      </c>
      <c r="Y61" s="4"/>
      <c r="Z61" s="4"/>
      <c r="AA61" s="4">
        <f t="shared" si="15"/>
        <v>2.1083658554214253</v>
      </c>
      <c r="AB61" s="4">
        <f t="shared" si="16"/>
        <v>-0.9585370138041753</v>
      </c>
      <c r="AC61" s="4">
        <f t="shared" si="17"/>
        <v>1.9081250402643946</v>
      </c>
      <c r="AD61" s="4">
        <f t="shared" si="18"/>
        <v>2.86666205406857</v>
      </c>
      <c r="AE61" s="4"/>
      <c r="AH61" s="210" t="str">
        <f t="shared" si="3"/>
        <v>Control</v>
      </c>
      <c r="AI61" s="209" t="str">
        <f t="shared" si="4"/>
        <v>Kelly</v>
      </c>
      <c r="AJ61" s="184">
        <f t="shared" si="29"/>
        <v>7.084244013734355</v>
      </c>
      <c r="AK61" s="44">
        <f t="shared" si="19"/>
        <v>21.38364779874214</v>
      </c>
      <c r="AL61" s="44">
        <f t="shared" si="20"/>
        <v>33.33333333333333</v>
      </c>
      <c r="AM61" s="44">
        <f t="shared" si="21"/>
        <v>28.930817610062892</v>
      </c>
      <c r="AN61" s="44">
        <f t="shared" si="22"/>
        <v>42.76729559748428</v>
      </c>
      <c r="AO61" s="3"/>
      <c r="AP61" s="3"/>
      <c r="AQ61" s="4">
        <f t="shared" si="23"/>
        <v>11.94968553459119</v>
      </c>
      <c r="AR61" s="4">
        <f t="shared" si="24"/>
        <v>-4.402515723270437</v>
      </c>
      <c r="AS61" s="4">
        <f t="shared" si="25"/>
        <v>9.43396226415095</v>
      </c>
      <c r="AT61" s="4">
        <f t="shared" si="26"/>
        <v>13.836477987421386</v>
      </c>
      <c r="AU61" s="44"/>
    </row>
    <row r="62" spans="2:47" ht="12.75">
      <c r="B62" s="32"/>
      <c r="C62" s="6" t="s">
        <v>2</v>
      </c>
      <c r="D62" s="75">
        <f>AVERAGE(D42:D61)</f>
        <v>9.396145809497138</v>
      </c>
      <c r="E62" s="75">
        <f>AVERAGE(E42:E61)</f>
        <v>403.74313992986185</v>
      </c>
      <c r="F62" s="75">
        <f>AVERAGE(F42:F61)</f>
        <v>405.9736597224338</v>
      </c>
      <c r="G62" s="75">
        <f>AVERAGE(G42:G61)</f>
        <v>411.7545091353145</v>
      </c>
      <c r="H62" s="75">
        <f>AVERAGE(H42:H61)</f>
        <v>408.49950272585806</v>
      </c>
      <c r="I62" s="282"/>
      <c r="J62" s="283" t="s">
        <v>115</v>
      </c>
      <c r="K62" s="284">
        <f>IF(ISBLANK($K$35),AVERAGE(K42:K61),IF(ISBLANK($K$38),FORECAST($K$35,K42:K61,$D42:$D61),SLOPE(K42:K61,$D42:$D61)*$K$38))</f>
        <v>2.2305197925719655</v>
      </c>
      <c r="L62" s="284">
        <f>IF(ISBLANK($K$35),AVERAGE(L42:L61),IF(ISBLANK($K$38),FORECAST($K$35,L42:L61,$D42:$D61),SLOPE(L42:L61,$D42:$D61)*$K$38))</f>
        <v>5.780849412880696</v>
      </c>
      <c r="M62" s="284">
        <f>IF(ISBLANK($K$35),AVERAGE(M42:M61),IF(ISBLANK($K$38),FORECAST($K$35,M42:M61,$D42:$D61),SLOPE(M42:M61,$D42:$D61)*$K$38))</f>
        <v>2.5258430034242254</v>
      </c>
      <c r="N62" s="284">
        <f>IF(ISBLANK($K$35),AVERAGE(N42:N61),IF(ISBLANK($K$38),FORECAST($K$35,N42:N61,$D42:$D61),SLOPE(N42:N61,$D42:$D61)*$K$38))</f>
        <v>-3.2550064094564704</v>
      </c>
      <c r="O62" s="285" t="e">
        <f>IF(ISBLANK($K$35),AVERAGE(O42:O61),IF(ISBLANK($K$38),FORECAST($K$35,O42:O61,$D42:$D61),SLOPE(O42:O61,$D42:$D61)*$K$38))</f>
        <v>#DIV/0!</v>
      </c>
      <c r="R62" s="32"/>
      <c r="S62" s="6" t="s">
        <v>2</v>
      </c>
      <c r="T62" s="75">
        <f>AVERAGE(T42:T61)</f>
        <v>9.396145809497138</v>
      </c>
      <c r="U62" s="7">
        <f>AVERAGE(U42:U61)</f>
        <v>599.9373834261795</v>
      </c>
      <c r="V62" s="7">
        <f>AVERAGE(V42:V61)</f>
        <v>600.4997692365267</v>
      </c>
      <c r="W62" s="7">
        <f>AVERAGE(W42:W61)</f>
        <v>601.895267637093</v>
      </c>
      <c r="X62" s="7">
        <f>AVERAGE(X42:X61)</f>
        <v>601.0850250297814</v>
      </c>
      <c r="Y62" s="7"/>
      <c r="Z62" s="6" t="s">
        <v>115</v>
      </c>
      <c r="AA62" s="276">
        <f>IF(ISBLANK($AA$35),AVERAGE(AA42:AA61),IF(ISBLANK($AA$38),FORECAST($AA$35,AA42:AA61,$T42:$T61),SLOPE(AA42:AA61,$T42:$T61)*$AA$38))</f>
        <v>0.562385810347115</v>
      </c>
      <c r="AB62" s="276">
        <f>IF(ISBLANK($AA$35),AVERAGE(AB42:AB61),IF(ISBLANK($AA$38),FORECAST($AA$35,AB42:AB61,$T42:$T61),SLOPE(AB42:AB61,$T42:$T61)*$AA$38))</f>
        <v>1.3954984005663165</v>
      </c>
      <c r="AC62" s="276">
        <f>IF(ISBLANK($AA$35),AVERAGE(AC42:AC61),IF(ISBLANK($AA$38),FORECAST($AA$35,AC42:AC61,$T42:$T61),SLOPE(AC42:AC61,$T42:$T61)*$AA$38))</f>
        <v>0.5852557932548905</v>
      </c>
      <c r="AD62" s="276">
        <f>IF(ISBLANK($AA$35),AVERAGE(AD42:AD61),IF(ISBLANK($AA$38),FORECAST($AA$35,AD42:AD61,$T42:$T61),SLOPE(AD42:AD61,$T42:$T61)*$AA$38))</f>
        <v>-0.8102426073114259</v>
      </c>
      <c r="AE62" s="276" t="e">
        <f>IF(ISBLANK($AA$35),AVERAGE(AE42:AE61),IF(ISBLANK($AA$38),FORECAST($AA$35,AE42:AE61,$T42:$T61),SLOPE(AE42:AE61,$T42:$T61)*$AA$38))</f>
        <v>#DIV/0!</v>
      </c>
      <c r="AH62" s="32"/>
      <c r="AI62" s="6" t="s">
        <v>2</v>
      </c>
      <c r="AJ62" s="75">
        <f>AVERAGE(AJ42:AJ61)</f>
        <v>9.396145809497138</v>
      </c>
      <c r="AK62" s="7">
        <f>AVERAGE(AK42:AK61)</f>
        <v>49.685534591194966</v>
      </c>
      <c r="AL62" s="7">
        <f>AVERAGE(AL42:AL61)</f>
        <v>52.20125786163521</v>
      </c>
      <c r="AM62" s="7">
        <f>AVERAGE(AM42:AM61)</f>
        <v>60.84905660377359</v>
      </c>
      <c r="AN62" s="7">
        <f>AVERAGE(AN42:AN61)</f>
        <v>55.251572327044016</v>
      </c>
      <c r="AO62" s="7"/>
      <c r="AP62" s="6" t="s">
        <v>115</v>
      </c>
      <c r="AQ62" s="276">
        <f>IF(ISBLANK($AQ$35),AVERAGE(AQ42:AQ61),IF(ISBLANK($AQ$38),FORECAST($AQ$35,AQ42:AQ61,$AJ42:$AJ61),SLOPE(AQ42:AQ61,$AJ42:$AJ61)*$AQ$38))</f>
        <v>2.5157232704402523</v>
      </c>
      <c r="AR62" s="276">
        <f>IF(ISBLANK($AQ$35),AVERAGE(AR42:AR61),IF(ISBLANK($AQ$38),FORECAST($AQ$35,AR42:AR61,$AJ42:$AJ61),SLOPE(AR42:AR61,$AJ42:$AJ61)*$AQ$38))</f>
        <v>8.647798742138368</v>
      </c>
      <c r="AS62" s="276">
        <f>IF(ISBLANK($AQ$35),AVERAGE(AS42:AS61),IF(ISBLANK($AQ$38),FORECAST($AQ$35,AS42:AS61,$AJ42:$AJ61),SLOPE(AS42:AS61,$AJ42:$AJ61)*$AQ$38))</f>
        <v>3.0503144654088046</v>
      </c>
      <c r="AT62" s="276">
        <f>IF(ISBLANK($AQ$35),AVERAGE(AT42:AT61),IF(ISBLANK($AQ$38),FORECAST($AQ$35,AT42:AT61,$AJ42:$AJ61),SLOPE(AT42:AT61,$AJ42:$AJ61)*$AQ$38))</f>
        <v>-5.597484276729561</v>
      </c>
      <c r="AU62" s="276" t="e">
        <f>IF(ISBLANK($AQ$35),AVERAGE(AU42:AU61),IF(ISBLANK($AQ$38),FORECAST($AQ$35,AU42:AU61,$AJ42:$AJ61),SLOPE(AU42:AU61,$AJ42:$AJ61)*$AQ$38))</f>
        <v>#DIV/0!</v>
      </c>
    </row>
    <row r="63" spans="2:47" ht="12.75">
      <c r="B63" s="32"/>
      <c r="C63" s="6" t="s">
        <v>3</v>
      </c>
      <c r="D63" s="75">
        <f>STDEV(D42:D61)</f>
        <v>3.659810913223453</v>
      </c>
      <c r="E63" s="75">
        <f>STDEV(E42:E61)</f>
        <v>21.911795113465768</v>
      </c>
      <c r="F63" s="75">
        <f>STDEV(F42:F61)</f>
        <v>21.096269939867266</v>
      </c>
      <c r="G63" s="75">
        <f>STDEV(G42:G61)</f>
        <v>22.655244592733524</v>
      </c>
      <c r="H63" s="75">
        <f>STDEV(H42:H61)</f>
        <v>23.922583581514715</v>
      </c>
      <c r="I63" s="286"/>
      <c r="J63" s="287" t="s">
        <v>116</v>
      </c>
      <c r="K63" s="288">
        <f>IF(ISBLANK($K$35),STDEV(K42:K61),STEYX(K42:K61,$D42:$D61))</f>
        <v>12.261325039835047</v>
      </c>
      <c r="L63" s="288">
        <f>IF(ISBLANK($K$35),STDEV(L42:L61),STEYX(L42:L61,$D42:$D61))</f>
        <v>11.42060168968843</v>
      </c>
      <c r="M63" s="288">
        <f>IF(ISBLANK($K$35),STDEV(M42:M61),STEYX(M42:M61,$D42:$D61))</f>
        <v>9.34590642686965</v>
      </c>
      <c r="N63" s="288">
        <f>IF(ISBLANK($K$35),STDEV(N42:N61),STEYX(N42:N61,$D42:$D61))</f>
        <v>13.392233037743464</v>
      </c>
      <c r="O63" s="289" t="e">
        <f>IF(ISBLANK($K$35),STDEV(O42:O61),STEYX(O42:O61,$D42:$D61))</f>
        <v>#DIV/0!</v>
      </c>
      <c r="R63" s="32"/>
      <c r="S63" s="6" t="s">
        <v>3</v>
      </c>
      <c r="T63" s="75">
        <f>STDEV(T42:T61)</f>
        <v>3.659810913223453</v>
      </c>
      <c r="U63" s="7">
        <f>STDEV(U42:U61)</f>
        <v>5.445257995718967</v>
      </c>
      <c r="V63" s="7">
        <f>STDEV(V42:V61)</f>
        <v>5.221556327455879</v>
      </c>
      <c r="W63" s="7">
        <f>STDEV(W42:W61)</f>
        <v>5.608172666339962</v>
      </c>
      <c r="X63" s="7">
        <f>STDEV(X42:X61)</f>
        <v>5.8882353627805815</v>
      </c>
      <c r="Y63" s="7"/>
      <c r="Z63" s="6" t="s">
        <v>116</v>
      </c>
      <c r="AA63" s="276">
        <f>IF(ISBLANK($AA$35),STDEV(AA42:AA61),STEYX(AA42:AA61,$T42:$T61))</f>
        <v>3.0163101078600727</v>
      </c>
      <c r="AB63" s="276">
        <f>IF(ISBLANK($AA$35),STDEV(AB42:AB61),STEYX(AB42:AB61,$T42:$T61))</f>
        <v>2.863607822022833</v>
      </c>
      <c r="AC63" s="276">
        <f>IF(ISBLANK($AA$35),STDEV(AC42:AC61),STEYX(AC42:AC61,$T42:$T61))</f>
        <v>2.263320214557133</v>
      </c>
      <c r="AD63" s="276">
        <f>IF(ISBLANK($AA$35),STDEV(AD42:AD61),STEYX(AD42:AD61,$T42:$T61))</f>
        <v>3.2749837915588365</v>
      </c>
      <c r="AE63" s="276" t="e">
        <f>IF(ISBLANK($AA$35),STDEV(AE42:AE61),STEYX(AE42:AE61,$T42:$T61))</f>
        <v>#DIV/0!</v>
      </c>
      <c r="AH63" s="32"/>
      <c r="AI63" s="6" t="s">
        <v>3</v>
      </c>
      <c r="AJ63" s="75">
        <f>STDEV(AJ42:AJ61)</f>
        <v>3.659810913223453</v>
      </c>
      <c r="AK63" s="7">
        <f>STDEV(AK42:AK61)</f>
        <v>29.750348624726364</v>
      </c>
      <c r="AL63" s="7">
        <f>STDEV(AL42:AL61)</f>
        <v>28.238923673765626</v>
      </c>
      <c r="AM63" s="7">
        <f>STDEV(AM42:AM61)</f>
        <v>29.620518993936912</v>
      </c>
      <c r="AN63" s="7">
        <f>STDEV(AN42:AN61)</f>
        <v>31.017446508849808</v>
      </c>
      <c r="AO63" s="7"/>
      <c r="AP63" s="6" t="s">
        <v>116</v>
      </c>
      <c r="AQ63" s="276">
        <f>IF(ISBLANK($AQ$35),STDEV(AQ42:AQ61),STEYX(AQ42:AQ61,$AJ42:$AJ61))</f>
        <v>18.416762007032407</v>
      </c>
      <c r="AR63" s="276">
        <f>IF(ISBLANK($AQ$35),STDEV(AR42:AR61),STEYX(AR42:AR61,$AJ42:$AJ61))</f>
        <v>15.726414779937087</v>
      </c>
      <c r="AS63" s="276">
        <f>IF(ISBLANK($AQ$35),STDEV(AS42:AS61),STEYX(AS42:AS61,$AJ42:$AJ61))</f>
        <v>11.938835472102365</v>
      </c>
      <c r="AT63" s="276">
        <f>IF(ISBLANK($AQ$35),STDEV(AT42:AT61),STEYX(AT42:AT61,$AJ42:$AJ61))</f>
        <v>18.330535379822383</v>
      </c>
      <c r="AU63" s="276" t="e">
        <f>IF(ISBLANK($AQ$35),STDEV(AU42:AU61),STEYX(AU42:AU61,$AJ42:$AJ61))</f>
        <v>#DIV/0!</v>
      </c>
    </row>
    <row r="64" spans="2:47" ht="12.75">
      <c r="B64" s="32"/>
      <c r="C64" s="6" t="s">
        <v>70</v>
      </c>
      <c r="D64" s="7">
        <f>D63/SQRT(D66)</f>
        <v>0.8183585986763224</v>
      </c>
      <c r="E64" s="7">
        <f>E63/SQRT(E66)</f>
        <v>4.899626338275717</v>
      </c>
      <c r="F64" s="7">
        <f>F63/SQRT(F66)</f>
        <v>4.717269365722861</v>
      </c>
      <c r="G64" s="5"/>
      <c r="H64" s="5"/>
      <c r="I64" s="5"/>
      <c r="J64" s="6" t="s">
        <v>117</v>
      </c>
      <c r="K64" s="5">
        <f>IF(ISBLANK($K$35),K63/SQRT(COUNT(K42:K61)),IF(ISBLANK($K$38),K63*SQRT(1/COUNT(K42:K61)+1/(COUNT(K42:K61)-1)*($K$35-$D62)^2/$D63^2),$K$38*STEYX(K42:K61,$D42:$D61)/(SQRT(COUNT(K42:K61)-1))/$D63))</f>
        <v>2.741715628329148</v>
      </c>
      <c r="L64" s="5">
        <f>IF(ISBLANK($K$35),L63/SQRT(COUNT(L42:L61)),IF(ISBLANK($K$38),L63*SQRT(1/COUNT(L42:L61)+1/(COUNT(L42:L61)-1)*($K$35-$D62)^2/$D63^2),$K$38*STEYX(L42:L61,$D42:$D61)/(SQRT(COUNT(L42:L61)-1))/$D63))</f>
        <v>2.553724172209229</v>
      </c>
      <c r="M64" s="5">
        <f>IF(ISBLANK($K$35),M63/SQRT(COUNT(M42:M61)),IF(ISBLANK($K$38),M63*SQRT(1/COUNT(M42:M61)+1/(COUNT(M42:M61)-1)*($K$35-$D62)^2/$D63^2),$K$38*STEYX(M42:M61,$D42:$D61)/(SQRT(COUNT(M42:M61)-1))/$D63))</f>
        <v>2.0898082081832703</v>
      </c>
      <c r="N64" s="5">
        <f>IF(ISBLANK($K$35),N63/SQRT(COUNT(N42:N61)),IF(ISBLANK($K$38),N63*SQRT(1/COUNT(N42:N61)+1/(COUNT(N42:N61)-1)*($K$35-$D62)^2/$D63^2),$K$38*STEYX(N42:N61,$D42:$D61)/(SQRT(COUNT(N42:N61)-1))/$D63))</f>
        <v>2.994594344291289</v>
      </c>
      <c r="O64" s="5" t="e">
        <f>IF(ISBLANK($K$35),O63/SQRT(COUNT(O42:O61)),IF(ISBLANK($K$38),O63*SQRT(1/COUNT(O42:O61)+1/(COUNT(O42:O61)-1)*($K$35-$D62)^2/$D63^2),$K$38*STEYX(O42:O61,$D42:$D61)/(SQRT(COUNT(O42:O61)-1))/$D63))</f>
        <v>#DIV/0!</v>
      </c>
      <c r="R64" s="32"/>
      <c r="S64" s="6" t="s">
        <v>70</v>
      </c>
      <c r="T64" s="7">
        <f>T63/SQRT(COUNT(T42:T61))</f>
        <v>0.8183585986763224</v>
      </c>
      <c r="U64" s="7">
        <f>U63/SQRT(COUNT(U42:U61))</f>
        <v>1.2175967033451867</v>
      </c>
      <c r="V64" s="7">
        <f>V63/SQRT(COUNT(V42:V61))</f>
        <v>1.1675754896535497</v>
      </c>
      <c r="W64" s="7"/>
      <c r="X64" s="7"/>
      <c r="Y64" s="7"/>
      <c r="Z64" s="6" t="s">
        <v>117</v>
      </c>
      <c r="AA64" s="5">
        <f>IF(ISBLANK($AA$35),AA63/SQRT(COUNT(AA42:AA61)),IF(ISBLANK($AA$38),AA63*SQRT(1/COUNT(AA42:AA61)+1/(COUNT(AA42:AA61)-1)*($AA$35-$T62)^2/$T63^2),$AA$38*STEYX(AA42:AA61,$T42:$T61)/(SQRT(COUNT(AA42:AA61)-1))/$T63))</f>
        <v>0.6744674442394845</v>
      </c>
      <c r="AB64" s="5">
        <f>IF(ISBLANK($AA$35),AB63/SQRT(COUNT(AB42:AB61)),IF(ISBLANK($AA$38),AB63*SQRT(1/COUNT(AB42:AB61)+1/(COUNT(AB42:AB61)-1)*($AA$35-$T62)^2/$T63^2),$AA$38*STEYX(AB42:AB61,$T42:$T61)/(SQRT(COUNT(AB42:AB61)-1))/$T63))</f>
        <v>0.6403221750943173</v>
      </c>
      <c r="AC64" s="5">
        <f>IF(ISBLANK($AA$35),AC63/SQRT(COUNT(AC42:AC61)),IF(ISBLANK($AA$38),AC63*SQRT(1/COUNT(AC42:AC61)+1/(COUNT(AC42:AC61)-1)*($AA$35-$T62)^2/$T63^2),$AA$38*STEYX(AC42:AC61,$T42:$T61)/(SQRT(COUNT(AC42:AC61)-1))/$T63))</f>
        <v>0.5060937854599159</v>
      </c>
      <c r="AD64" s="5">
        <f>IF(ISBLANK($AA$35),AD63/SQRT(COUNT(AD42:AD61)),IF(ISBLANK($AA$38),AD63*SQRT(1/COUNT(AD42:AD61)+1/(COUNT(AD42:AD61)-1)*($AA$35-$T62)^2/$T63^2),$AA$38*STEYX(AD42:AD61,$T42:$T61)/(SQRT(COUNT(AD42:AD61)-1))/$T63))</f>
        <v>0.732308638313556</v>
      </c>
      <c r="AE64" s="5" t="e">
        <f>IF(ISBLANK($AA$35),AE63/SQRT(COUNT(AE42:AE61)),IF(ISBLANK($AA$38),AE63*SQRT(1/COUNT(AE42:AE61)+1/(COUNT(AE42:AE61)-1)*($AA$35-$T62)^2/$T63^2),$AA$38*STEYX(AE42:AE61,$T42:$T61)/(SQRT(COUNT(AE42:AE61)-1))/$T63))</f>
        <v>#DIV/0!</v>
      </c>
      <c r="AH64" s="32"/>
      <c r="AI64" s="6" t="s">
        <v>70</v>
      </c>
      <c r="AJ64" s="7">
        <f>AJ63/SQRT(COUNT(AJ42:AJ61))</f>
        <v>0.8183585986763224</v>
      </c>
      <c r="AK64" s="7">
        <f>AK63/SQRT(COUNT(AK42:AK61))</f>
        <v>6.652380187920553</v>
      </c>
      <c r="AL64" s="7">
        <f>AL63/SQRT(COUNT(AL42:AL61))</f>
        <v>6.314415294596803</v>
      </c>
      <c r="AM64" s="7"/>
      <c r="AN64" s="7"/>
      <c r="AO64" s="7"/>
      <c r="AP64" s="6" t="s">
        <v>117</v>
      </c>
      <c r="AQ64" s="5">
        <f>IF(ISBLANK($AQ$35),AQ63/SQRT(COUNT(AQ42:AQ61)),IF(ISBLANK($AQ$38),AQ63*SQRT(1/COUNT(AQ42:AQ61)+1/(COUNT(AQ42:AQ61)-1)*($AQ$35-$AJ62)^2/$AJ63^2),$AQ$38*STEYX(AQ42:AQ61,$AJ42:$AJ61)/(SQRT(COUNT(AQ42:AQ61)-1))/$AJ63))</f>
        <v>4.118113177315992</v>
      </c>
      <c r="AR64" s="5">
        <f>IF(ISBLANK($AQ$35),AR63/SQRT(COUNT(AR42:AR61)),IF(ISBLANK($AQ$38),AR63*SQRT(1/COUNT(AR42:AR61)+1/(COUNT(AR42:AR61)-1)*($AQ$35-$AJ62)^2/$AJ63^2),$AQ$38*STEYX(AR42:AR61,$AJ42:$AJ61)/(SQRT(COUNT(AR42:AR61)-1))/$AJ63))</f>
        <v>3.5165332490296723</v>
      </c>
      <c r="AS64" s="5">
        <f>IF(ISBLANK($AQ$35),AS63/SQRT(COUNT(AS42:AS61)),IF(ISBLANK($AQ$38),AS63*SQRT(1/COUNT(AS42:AS61)+1/(COUNT(AS42:AS61)-1)*($AQ$35-$AJ62)^2/$AJ63^2),$AQ$38*STEYX(AS42:AS61,$AJ42:$AJ61)/(SQRT(COUNT(AS42:AS61)-1))/$AJ63))</f>
        <v>2.669604768780668</v>
      </c>
      <c r="AT64" s="5">
        <f>IF(ISBLANK($AQ$35),AT63/SQRT(COUNT(AT42:AT61)),IF(ISBLANK($AQ$38),AT63*SQRT(1/COUNT(AT42:AT61)+1/(COUNT(AT42:AT61)-1)*($AQ$35-$AJ62)^2/$AJ63^2),$AQ$38*STEYX(AT42:AT61,$AJ42:$AJ61)/(SQRT(COUNT(AT42:AT61)-1))/$AJ63))</f>
        <v>4.098832317324777</v>
      </c>
      <c r="AU64" s="5" t="e">
        <f>IF(ISBLANK($AQ$35),AU63/SQRT(COUNT(AU42:AU61)),IF(ISBLANK($AQ$38),AU63*SQRT(1/COUNT(AU42:AU61)+1/(COUNT(AU42:AU61)-1)*($AQ$35-$AJ62)^2/$AJ63^2),$AQ$38*STEYX(AU42:AU61,$AJ42:$AJ61)/(SQRT(COUNT(AU42:AU61)-1))/$AJ63))</f>
        <v>#DIV/0!</v>
      </c>
    </row>
    <row r="65" spans="2:47" ht="12.75">
      <c r="B65" s="32"/>
      <c r="C65" s="6" t="s">
        <v>75</v>
      </c>
      <c r="D65" s="101">
        <f>D66-1</f>
        <v>19</v>
      </c>
      <c r="E65" s="101">
        <f>E66-1</f>
        <v>19</v>
      </c>
      <c r="F65" s="101">
        <f>F66-1</f>
        <v>19</v>
      </c>
      <c r="G65" s="5"/>
      <c r="H65" s="5"/>
      <c r="I65" s="5"/>
      <c r="J65" s="6" t="s">
        <v>75</v>
      </c>
      <c r="K65" s="101">
        <f>IF(ISBLANK($K$35),COUNT(K42:K61)-1,COUNT(K42:K61)-2)</f>
        <v>19</v>
      </c>
      <c r="L65" s="101">
        <f>IF(ISBLANK($K$35),COUNT(L42:L61)-1,COUNT(L42:L61)-2)</f>
        <v>19</v>
      </c>
      <c r="M65" s="101">
        <f>IF(ISBLANK($K$35),COUNT(M42:M61)-1,COUNT(M42:M61)-2)</f>
        <v>19</v>
      </c>
      <c r="N65" s="101">
        <f>IF(ISBLANK($K$35),COUNT(N42:N61)-1,COUNT(N42:N61)-2)</f>
        <v>19</v>
      </c>
      <c r="O65" s="101">
        <f>IF(ISBLANK($K$35),COUNT(O42:O61)-1,COUNT(O42:O61)-2)</f>
        <v>-1</v>
      </c>
      <c r="R65" s="32"/>
      <c r="S65" s="6" t="s">
        <v>75</v>
      </c>
      <c r="T65" s="101">
        <f>COUNT(T42:T61)-1</f>
        <v>19</v>
      </c>
      <c r="U65" s="101">
        <f>COUNT(U42:U61)-1</f>
        <v>19</v>
      </c>
      <c r="V65" s="101">
        <f>COUNT(V42:V61)-1</f>
        <v>19</v>
      </c>
      <c r="W65" s="101"/>
      <c r="X65" s="101"/>
      <c r="Y65" s="7"/>
      <c r="Z65" s="6" t="s">
        <v>75</v>
      </c>
      <c r="AA65" s="101">
        <f>IF(ISBLANK($AA$35),COUNT(AA42:AA61)-1,COUNT(AA42:AA61)-2)</f>
        <v>19</v>
      </c>
      <c r="AB65" s="101">
        <f>IF(ISBLANK($AA$35),COUNT(AB42:AB61)-1,COUNT(AB42:AB61)-2)</f>
        <v>19</v>
      </c>
      <c r="AC65" s="101">
        <f>IF(ISBLANK($AA$35),COUNT(AC42:AC61)-1,COUNT(AC42:AC61)-2)</f>
        <v>19</v>
      </c>
      <c r="AD65" s="101">
        <f>IF(ISBLANK($AA$35),COUNT(AD42:AD61)-1,COUNT(AD42:AD61)-2)</f>
        <v>19</v>
      </c>
      <c r="AE65" s="101">
        <f>IF(ISBLANK($AA$35),COUNT(AE42:AE61)-1,COUNT(AE42:AE61)-2)</f>
        <v>-1</v>
      </c>
      <c r="AH65" s="32"/>
      <c r="AI65" s="6" t="s">
        <v>75</v>
      </c>
      <c r="AJ65" s="101">
        <f>COUNT(AJ42:AJ61)-1</f>
        <v>19</v>
      </c>
      <c r="AK65" s="101">
        <f>COUNT(AK42:AK61)-1</f>
        <v>19</v>
      </c>
      <c r="AL65" s="101">
        <f>COUNT(AL42:AL61)-1</f>
        <v>19</v>
      </c>
      <c r="AM65" s="101"/>
      <c r="AN65" s="101"/>
      <c r="AO65" s="7"/>
      <c r="AP65" s="6" t="s">
        <v>75</v>
      </c>
      <c r="AQ65" s="101">
        <f>IF(ISBLANK($AQ$35),COUNT(AQ42:AQ61)-1,COUNT(AQ42:AQ61)-2)</f>
        <v>19</v>
      </c>
      <c r="AR65" s="101">
        <f>IF(ISBLANK($AQ$35),COUNT(AR42:AR61)-1,COUNT(AR42:AR61)-2)</f>
        <v>19</v>
      </c>
      <c r="AS65" s="101">
        <f>IF(ISBLANK($AQ$35),COUNT(AS42:AS61)-1,COUNT(AS42:AS61)-2)</f>
        <v>19</v>
      </c>
      <c r="AT65" s="101">
        <f>IF(ISBLANK($AQ$35),COUNT(AT42:AT61)-1,COUNT(AT42:AT61)-2)</f>
        <v>19</v>
      </c>
      <c r="AU65" s="101">
        <f>IF(ISBLANK($AQ$35),COUNT(AU42:AU61)-1,COUNT(AU42:AU61)-2)</f>
        <v>-1</v>
      </c>
    </row>
    <row r="66" spans="2:47" ht="12.75">
      <c r="B66" s="32"/>
      <c r="C66" s="6" t="s">
        <v>49</v>
      </c>
      <c r="D66" s="299">
        <f>COUNT(D42:D61)</f>
        <v>20</v>
      </c>
      <c r="E66" s="299">
        <f>COUNT(E42:E61)</f>
        <v>20</v>
      </c>
      <c r="F66" s="299">
        <f>COUNT(F42:F61)</f>
        <v>20</v>
      </c>
      <c r="G66" s="299">
        <f>COUNT(G42:G61)</f>
        <v>20</v>
      </c>
      <c r="H66" s="299">
        <f>COUNT(H42:H61)</f>
        <v>20</v>
      </c>
      <c r="I66" s="282"/>
      <c r="J66" s="283" t="s">
        <v>170</v>
      </c>
      <c r="K66" s="284">
        <f aca="true" t="shared" si="30" ref="K66:O67">K62/$E$115</f>
        <v>0.0990980079888141</v>
      </c>
      <c r="L66" s="284">
        <f t="shared" si="30"/>
        <v>0.25683280785382195</v>
      </c>
      <c r="M66" s="284">
        <f t="shared" si="30"/>
        <v>0.11221869044398906</v>
      </c>
      <c r="N66" s="284">
        <f t="shared" si="30"/>
        <v>-0.14461411740983293</v>
      </c>
      <c r="O66" s="285" t="e">
        <f t="shared" si="30"/>
        <v>#DIV/0!</v>
      </c>
      <c r="R66" s="32"/>
      <c r="S66" s="6" t="s">
        <v>49</v>
      </c>
      <c r="T66" s="299">
        <f>COUNT(T42:T61)</f>
        <v>20</v>
      </c>
      <c r="U66" s="299">
        <f>COUNT(U42:U61)</f>
        <v>20</v>
      </c>
      <c r="V66" s="299">
        <f>COUNT(V42:V61)</f>
        <v>20</v>
      </c>
      <c r="W66" s="299">
        <f>COUNT(W42:W61)</f>
        <v>20</v>
      </c>
      <c r="X66" s="299">
        <f>COUNT(X42:X61)</f>
        <v>20</v>
      </c>
      <c r="Y66" s="290"/>
      <c r="Z66" s="291" t="s">
        <v>118</v>
      </c>
      <c r="AA66" s="292">
        <f aca="true" t="shared" si="31" ref="AA66:AE67">100*EXP(AA62/100)-100</f>
        <v>0.5639701680206315</v>
      </c>
      <c r="AB66" s="292">
        <f t="shared" si="31"/>
        <v>1.4052809315496972</v>
      </c>
      <c r="AC66" s="292">
        <f t="shared" si="31"/>
        <v>0.5869717609393774</v>
      </c>
      <c r="AD66" s="292">
        <f t="shared" si="31"/>
        <v>-0.806968989280449</v>
      </c>
      <c r="AE66" s="293" t="e">
        <f t="shared" si="31"/>
        <v>#DIV/0!</v>
      </c>
      <c r="AH66" s="32"/>
      <c r="AI66" s="6" t="s">
        <v>49</v>
      </c>
      <c r="AJ66" s="299">
        <f>COUNT(AJ42:AJ61)</f>
        <v>20</v>
      </c>
      <c r="AK66" s="299">
        <f>COUNT(AK42:AK61)</f>
        <v>20</v>
      </c>
      <c r="AL66" s="299">
        <f>COUNT(AL42:AL61)</f>
        <v>20</v>
      </c>
      <c r="AM66" s="299">
        <f>COUNT(AM42:AM61)</f>
        <v>20</v>
      </c>
      <c r="AN66" s="299">
        <f>COUNT(AN42:AN61)</f>
        <v>20</v>
      </c>
      <c r="AO66" s="282"/>
      <c r="AP66" s="283" t="s">
        <v>170</v>
      </c>
      <c r="AQ66" s="284">
        <f aca="true" t="shared" si="32" ref="AQ66:AU67">AQ62/$AK$115</f>
        <v>0.08921565089945878</v>
      </c>
      <c r="AR66" s="284">
        <f t="shared" si="32"/>
        <v>0.30667879996688957</v>
      </c>
      <c r="AS66" s="284">
        <f t="shared" si="32"/>
        <v>0.10817397671559373</v>
      </c>
      <c r="AT66" s="284">
        <f t="shared" si="32"/>
        <v>-0.19850482325129576</v>
      </c>
      <c r="AU66" s="285" t="e">
        <f t="shared" si="32"/>
        <v>#DIV/0!</v>
      </c>
    </row>
    <row r="67" spans="2:47" ht="12.75">
      <c r="B67" s="32"/>
      <c r="C67" s="6"/>
      <c r="D67" s="6"/>
      <c r="E67" s="5"/>
      <c r="F67" s="5"/>
      <c r="G67" s="5"/>
      <c r="H67" s="5"/>
      <c r="I67" s="286"/>
      <c r="J67" s="287" t="s">
        <v>171</v>
      </c>
      <c r="K67" s="288">
        <f t="shared" si="30"/>
        <v>0.544748758023772</v>
      </c>
      <c r="L67" s="288">
        <f t="shared" si="30"/>
        <v>0.5073969221213681</v>
      </c>
      <c r="M67" s="288">
        <f t="shared" si="30"/>
        <v>0.415221919499177</v>
      </c>
      <c r="N67" s="288">
        <f t="shared" si="30"/>
        <v>0.5949929792069052</v>
      </c>
      <c r="O67" s="289" t="e">
        <f t="shared" si="30"/>
        <v>#DIV/0!</v>
      </c>
      <c r="R67" s="32"/>
      <c r="S67" s="6" t="s">
        <v>6</v>
      </c>
      <c r="T67" s="101"/>
      <c r="U67" s="76">
        <f>EXP(U62/100)</f>
        <v>403.1762592768327</v>
      </c>
      <c r="V67" s="76">
        <f>EXP(V62/100)</f>
        <v>405.4500531036962</v>
      </c>
      <c r="W67" s="76">
        <f>EXP(W62/100)</f>
        <v>411.14776538692</v>
      </c>
      <c r="X67" s="76">
        <f>EXP(X62/100)</f>
        <v>407.8299304201275</v>
      </c>
      <c r="Y67" s="294"/>
      <c r="Z67" s="287" t="s">
        <v>120</v>
      </c>
      <c r="AA67" s="295">
        <f t="shared" si="31"/>
        <v>3.0622615906254964</v>
      </c>
      <c r="AB67" s="295">
        <f t="shared" si="31"/>
        <v>2.9050032604314</v>
      </c>
      <c r="AC67" s="295">
        <f t="shared" si="31"/>
        <v>2.289127640306816</v>
      </c>
      <c r="AD67" s="295">
        <f t="shared" si="31"/>
        <v>3.3292016421716113</v>
      </c>
      <c r="AE67" s="296" t="e">
        <f t="shared" si="31"/>
        <v>#DIV/0!</v>
      </c>
      <c r="AH67" s="32"/>
      <c r="AI67" s="6" t="s">
        <v>6</v>
      </c>
      <c r="AJ67" s="6"/>
      <c r="AK67" s="75">
        <f>PERCENTILE(allraw,AK62/100)</f>
        <v>405.3744432469969</v>
      </c>
      <c r="AL67" s="75">
        <f>PERCENTILE(allraw,AL62/100)</f>
        <v>406.8127486332513</v>
      </c>
      <c r="AM67" s="75">
        <f>PERCENTILE(allraw,AM62/100)</f>
        <v>411.81483234974235</v>
      </c>
      <c r="AN67" s="75">
        <f>PERCENTILE(allraw,AN62/100)</f>
        <v>408.9104357588353</v>
      </c>
      <c r="AO67" s="286"/>
      <c r="AP67" s="287" t="s">
        <v>171</v>
      </c>
      <c r="AQ67" s="288">
        <f t="shared" si="32"/>
        <v>0.6531177054423328</v>
      </c>
      <c r="AR67" s="288">
        <f t="shared" si="32"/>
        <v>0.5577093265355149</v>
      </c>
      <c r="AS67" s="288">
        <f t="shared" si="32"/>
        <v>0.4233895636060009</v>
      </c>
      <c r="AT67" s="288">
        <f t="shared" si="32"/>
        <v>0.6500598314854484</v>
      </c>
      <c r="AU67" s="289" t="e">
        <f t="shared" si="32"/>
        <v>#DIV/0!</v>
      </c>
    </row>
    <row r="68" spans="2:47" ht="12.75">
      <c r="B68" s="32"/>
      <c r="C68" s="6"/>
      <c r="D68" s="6"/>
      <c r="E68" s="5"/>
      <c r="F68" s="5"/>
      <c r="G68" s="5"/>
      <c r="H68" s="5"/>
      <c r="I68" s="5"/>
      <c r="J68" s="5"/>
      <c r="K68" s="5"/>
      <c r="L68" s="5"/>
      <c r="M68" s="5"/>
      <c r="N68" s="5"/>
      <c r="O68" s="5"/>
      <c r="R68" s="32"/>
      <c r="S68" s="6" t="s">
        <v>7</v>
      </c>
      <c r="T68" s="6"/>
      <c r="U68" s="76">
        <f>100*EXP(U63/100)-100</f>
        <v>5.596240144417308</v>
      </c>
      <c r="V68" s="76">
        <f>100*EXP(V63/100)-100</f>
        <v>5.36028361134025</v>
      </c>
      <c r="W68" s="76">
        <f>100*EXP(W63/100)-100</f>
        <v>5.768412119859676</v>
      </c>
      <c r="X68" s="76">
        <f>100*EXP(X63/100)-100</f>
        <v>6.0650451722004135</v>
      </c>
      <c r="Y68" s="282"/>
      <c r="Z68" s="283" t="s">
        <v>119</v>
      </c>
      <c r="AA68" s="297">
        <f aca="true" t="shared" si="33" ref="AA68:AE69">EXP(AA62/100)</f>
        <v>1.0056397016802063</v>
      </c>
      <c r="AB68" s="297">
        <f t="shared" si="33"/>
        <v>1.014052809315497</v>
      </c>
      <c r="AC68" s="297">
        <f t="shared" si="33"/>
        <v>1.0058697176093938</v>
      </c>
      <c r="AD68" s="297">
        <f t="shared" si="33"/>
        <v>0.9919303101071955</v>
      </c>
      <c r="AE68" s="298" t="e">
        <f t="shared" si="33"/>
        <v>#DIV/0!</v>
      </c>
      <c r="AH68" s="32"/>
      <c r="AI68" s="6" t="s">
        <v>44</v>
      </c>
      <c r="AJ68" s="6"/>
      <c r="AK68" s="75">
        <f>(PERCENTILE(allraw,(AK62+AK63)/100)-PERCENTILE(allraw,(AK62-AK63)/100))/2</f>
        <v>19.562021416809642</v>
      </c>
      <c r="AL68" s="75">
        <f>(PERCENTILE(allraw,(AL62+AL63)/100)-PERCENTILE(allraw,(AL62-AL63)/100))/2</f>
        <v>18.524574737147674</v>
      </c>
      <c r="AM68" s="75">
        <f>(PERCENTILE(allraw,(AM62+AM63)/100)-PERCENTILE(allraw,(AM62-AM63)/100))/2</f>
        <v>21.06453909013402</v>
      </c>
      <c r="AN68" s="75">
        <f>(PERCENTILE(allraw,(AN62+AN63)/100)-PERCENTILE(allraw,(AN62-AN63)/100))/2</f>
        <v>20.616771878974873</v>
      </c>
      <c r="AO68" s="5"/>
      <c r="AP68" s="5"/>
      <c r="AQ68" s="5"/>
      <c r="AR68" s="5"/>
      <c r="AS68" s="5"/>
      <c r="AT68" s="5"/>
      <c r="AU68" s="5"/>
    </row>
    <row r="69" spans="2:47" ht="12.75">
      <c r="B69" s="32"/>
      <c r="C69" s="6"/>
      <c r="D69" s="6"/>
      <c r="E69" s="5"/>
      <c r="F69" s="5"/>
      <c r="G69" s="5"/>
      <c r="H69" s="5"/>
      <c r="I69" s="5"/>
      <c r="J69" s="5"/>
      <c r="K69" s="5"/>
      <c r="L69" s="5"/>
      <c r="M69" s="5"/>
      <c r="N69" s="5"/>
      <c r="O69" s="5"/>
      <c r="R69" s="32"/>
      <c r="S69" s="6" t="s">
        <v>8</v>
      </c>
      <c r="T69" s="6"/>
      <c r="U69" s="75">
        <f>EXP(U63/100)</f>
        <v>1.055962401444173</v>
      </c>
      <c r="V69" s="75">
        <f>EXP(V63/100)</f>
        <v>1.0536028361134024</v>
      </c>
      <c r="W69" s="75">
        <f>EXP(W63/100)</f>
        <v>1.0576841211985968</v>
      </c>
      <c r="X69" s="75">
        <f>EXP(X63/100)</f>
        <v>1.0606504517220041</v>
      </c>
      <c r="Y69" s="286"/>
      <c r="Z69" s="287" t="s">
        <v>121</v>
      </c>
      <c r="AA69" s="288">
        <f t="shared" si="33"/>
        <v>1.030622615906255</v>
      </c>
      <c r="AB69" s="288">
        <f t="shared" si="33"/>
        <v>1.029050032604314</v>
      </c>
      <c r="AC69" s="288">
        <f t="shared" si="33"/>
        <v>1.0228912764030682</v>
      </c>
      <c r="AD69" s="288">
        <f t="shared" si="33"/>
        <v>1.033292016421716</v>
      </c>
      <c r="AE69" s="289" t="e">
        <f t="shared" si="33"/>
        <v>#DIV/0!</v>
      </c>
      <c r="AH69" s="32"/>
      <c r="AI69" s="6"/>
      <c r="AJ69" s="6"/>
      <c r="AK69" s="5"/>
      <c r="AL69" s="5"/>
      <c r="AM69" s="5"/>
      <c r="AN69" s="5"/>
      <c r="AO69" s="5"/>
      <c r="AP69" s="5"/>
      <c r="AQ69" s="5"/>
      <c r="AR69" s="5"/>
      <c r="AS69" s="5"/>
      <c r="AT69" s="5"/>
      <c r="AU69" s="5"/>
    </row>
    <row r="70" spans="2:47" ht="12.75">
      <c r="B70" s="32"/>
      <c r="C70" s="6"/>
      <c r="D70" s="6"/>
      <c r="E70" s="5"/>
      <c r="F70" s="5"/>
      <c r="G70" s="5"/>
      <c r="H70" s="5"/>
      <c r="I70" s="5"/>
      <c r="J70" s="5"/>
      <c r="K70" s="5"/>
      <c r="L70" s="5"/>
      <c r="M70" s="5"/>
      <c r="N70" s="5"/>
      <c r="O70" s="5"/>
      <c r="R70" s="32"/>
      <c r="S70" s="6"/>
      <c r="T70" s="6"/>
      <c r="U70" s="75"/>
      <c r="V70" s="75"/>
      <c r="W70" s="75"/>
      <c r="X70" s="75"/>
      <c r="Y70" s="282"/>
      <c r="Z70" s="283" t="s">
        <v>170</v>
      </c>
      <c r="AA70" s="284">
        <f aca="true" t="shared" si="34" ref="AA70:AE71">AA62/$U$115</f>
        <v>0.09841537283819465</v>
      </c>
      <c r="AB70" s="284">
        <f t="shared" si="34"/>
        <v>0.24420690006753631</v>
      </c>
      <c r="AC70" s="284">
        <f t="shared" si="34"/>
        <v>0.10241753266026175</v>
      </c>
      <c r="AD70" s="284">
        <f t="shared" si="34"/>
        <v>-0.14178936740727457</v>
      </c>
      <c r="AE70" s="285" t="e">
        <f t="shared" si="34"/>
        <v>#DIV/0!</v>
      </c>
      <c r="AH70" s="32"/>
      <c r="AI70" s="6"/>
      <c r="AJ70" s="6"/>
      <c r="AK70" s="5"/>
      <c r="AL70" s="5"/>
      <c r="AM70" s="5"/>
      <c r="AN70" s="5"/>
      <c r="AO70" s="5"/>
      <c r="AP70" s="5"/>
      <c r="AQ70" s="5"/>
      <c r="AR70" s="5"/>
      <c r="AS70" s="5"/>
      <c r="AT70" s="5"/>
      <c r="AU70" s="5"/>
    </row>
    <row r="71" spans="2:47" ht="12.75">
      <c r="B71" s="32"/>
      <c r="C71" s="6"/>
      <c r="D71" s="6"/>
      <c r="E71" s="5"/>
      <c r="F71" s="5"/>
      <c r="G71" s="5"/>
      <c r="H71" s="5"/>
      <c r="I71" s="5"/>
      <c r="J71" s="5"/>
      <c r="K71" s="5"/>
      <c r="L71" s="5"/>
      <c r="M71" s="5"/>
      <c r="N71" s="5"/>
      <c r="O71" s="5"/>
      <c r="R71" s="32"/>
      <c r="S71" s="6"/>
      <c r="T71" s="6"/>
      <c r="U71" s="75"/>
      <c r="V71" s="75"/>
      <c r="W71" s="75"/>
      <c r="X71" s="75"/>
      <c r="Y71" s="286"/>
      <c r="Z71" s="287" t="s">
        <v>171</v>
      </c>
      <c r="AA71" s="288">
        <f t="shared" si="34"/>
        <v>0.527842769854812</v>
      </c>
      <c r="AB71" s="288">
        <f t="shared" si="34"/>
        <v>0.5011204519772667</v>
      </c>
      <c r="AC71" s="288">
        <f t="shared" si="34"/>
        <v>0.396072409135608</v>
      </c>
      <c r="AD71" s="288">
        <f t="shared" si="34"/>
        <v>0.573109678365413</v>
      </c>
      <c r="AE71" s="289" t="e">
        <f t="shared" si="34"/>
        <v>#DIV/0!</v>
      </c>
      <c r="AH71" s="32"/>
      <c r="AI71" s="6"/>
      <c r="AJ71" s="6"/>
      <c r="AK71" s="5"/>
      <c r="AL71" s="5"/>
      <c r="AM71" s="5"/>
      <c r="AN71" s="5"/>
      <c r="AO71" s="5"/>
      <c r="AP71" s="5"/>
      <c r="AQ71" s="5"/>
      <c r="AR71" s="5"/>
      <c r="AS71" s="5"/>
      <c r="AT71" s="5"/>
      <c r="AU71" s="5"/>
    </row>
    <row r="72" spans="4:47" ht="26.25" customHeight="1">
      <c r="D72" s="126" t="str">
        <f>D41</f>
        <v>X</v>
      </c>
      <c r="E72" s="126" t="str">
        <f>E41</f>
        <v>Pre1</v>
      </c>
      <c r="F72" s="126" t="str">
        <f>F41</f>
        <v>Pre2</v>
      </c>
      <c r="G72" s="126" t="str">
        <f>G41</f>
        <v>Post1</v>
      </c>
      <c r="H72" s="126" t="str">
        <f>H41</f>
        <v>Post2</v>
      </c>
      <c r="I72" s="127"/>
      <c r="J72" s="127"/>
      <c r="K72" s="126" t="str">
        <f>K41</f>
        <v>Pre2-Pre1</v>
      </c>
      <c r="L72" s="126" t="str">
        <f>L41</f>
        <v>Post1-Pre2</v>
      </c>
      <c r="M72" s="126" t="str">
        <f>M41</f>
        <v>Post2-Pre2</v>
      </c>
      <c r="N72" s="126" t="str">
        <f>N41</f>
        <v>Post2-Post1</v>
      </c>
      <c r="O72" s="126" t="str">
        <f>O41</f>
        <v>other effect</v>
      </c>
      <c r="T72" s="126" t="str">
        <f>T41</f>
        <v>X</v>
      </c>
      <c r="U72" s="126" t="str">
        <f>U41</f>
        <v>Pre1</v>
      </c>
      <c r="V72" s="126" t="str">
        <f>V41</f>
        <v>Pre2</v>
      </c>
      <c r="W72" s="126" t="str">
        <f>W41</f>
        <v>Post1</v>
      </c>
      <c r="X72" s="126" t="str">
        <f>X41</f>
        <v>Post2</v>
      </c>
      <c r="Y72" s="127"/>
      <c r="Z72" s="126"/>
      <c r="AA72" s="126" t="str">
        <f>AA41</f>
        <v>Pre2-Pre1</v>
      </c>
      <c r="AB72" s="126" t="str">
        <f>AB41</f>
        <v>Post1-Pre2</v>
      </c>
      <c r="AC72" s="126" t="str">
        <f>AC41</f>
        <v>Post2-Pre2</v>
      </c>
      <c r="AD72" s="126" t="str">
        <f>AD41</f>
        <v>Post2-Post1</v>
      </c>
      <c r="AE72" s="126" t="str">
        <f>AE41</f>
        <v>other effect</v>
      </c>
      <c r="AJ72" s="126" t="str">
        <f>AJ41</f>
        <v>X</v>
      </c>
      <c r="AK72" s="126" t="str">
        <f>AK41</f>
        <v>Pre1</v>
      </c>
      <c r="AL72" s="126" t="str">
        <f>AL41</f>
        <v>Pre2</v>
      </c>
      <c r="AM72" s="126" t="str">
        <f>AM41</f>
        <v>Post1</v>
      </c>
      <c r="AN72" s="126" t="str">
        <f>AN41</f>
        <v>Post2</v>
      </c>
      <c r="AO72" s="127"/>
      <c r="AP72" s="126"/>
      <c r="AQ72" s="126" t="str">
        <f>AQ41</f>
        <v>Pre2-Pre1</v>
      </c>
      <c r="AR72" s="126" t="str">
        <f>AR41</f>
        <v>Post1-Pre2</v>
      </c>
      <c r="AS72" s="126" t="str">
        <f>AS41</f>
        <v>Post2-Pre2</v>
      </c>
      <c r="AT72" s="126" t="str">
        <f>AT41</f>
        <v>Post2-Post1</v>
      </c>
      <c r="AU72" s="126" t="str">
        <f>AU41</f>
        <v>other effect</v>
      </c>
    </row>
    <row r="73" spans="2:47" ht="12.75">
      <c r="B73" s="185" t="s">
        <v>23</v>
      </c>
      <c r="C73" s="185" t="s">
        <v>35</v>
      </c>
      <c r="D73" s="176">
        <v>13.776209008775542</v>
      </c>
      <c r="E73" s="176">
        <v>403.1465762823359</v>
      </c>
      <c r="F73" s="176">
        <v>405.3744432469969</v>
      </c>
      <c r="G73" s="176">
        <v>390.5058545914045</v>
      </c>
      <c r="H73" s="176">
        <v>373.07236411608926</v>
      </c>
      <c r="J73" s="3"/>
      <c r="K73" s="4">
        <f aca="true" t="shared" si="35" ref="K73:L92">IF(AND(ISNUMBER(F73),ISNUMBER(E73)),F73-E73,"miss")</f>
        <v>2.2278669646610183</v>
      </c>
      <c r="L73" s="4">
        <f t="shared" si="35"/>
        <v>-14.868588655592418</v>
      </c>
      <c r="M73" s="4">
        <f aca="true" t="shared" si="36" ref="M73:M92">IF(AND(ISNUMBER(H73),ISNUMBER(F73)),H73-F73,"miss")</f>
        <v>-32.30207913090766</v>
      </c>
      <c r="N73" s="4">
        <f aca="true" t="shared" si="37" ref="N73:N92">IF(AND(ISNUMBER(H73),ISNUMBER(G73)),H73-G73,"miss")</f>
        <v>-17.43349047531524</v>
      </c>
      <c r="O73" s="4"/>
      <c r="R73" s="185" t="str">
        <f aca="true" t="shared" si="38" ref="R73:R92">B73</f>
        <v>Exptal</v>
      </c>
      <c r="S73" s="185" t="str">
        <f aca="true" t="shared" si="39" ref="S73:S92">C73</f>
        <v>Kerry</v>
      </c>
      <c r="T73" s="184">
        <f>IF(ISNUMBER(D73),D73,"miss")</f>
        <v>13.776209008775542</v>
      </c>
      <c r="U73" s="4">
        <f aca="true" t="shared" si="40" ref="U73:X92">IF(ISERROR(100*LN(E73)),"miss",100*LN(E73))</f>
        <v>599.9300208678588</v>
      </c>
      <c r="V73" s="4">
        <f t="shared" si="40"/>
        <v>600.4811191199457</v>
      </c>
      <c r="W73" s="4">
        <f t="shared" si="40"/>
        <v>596.7442961718966</v>
      </c>
      <c r="X73" s="4">
        <f t="shared" si="40"/>
        <v>592.1772406500311</v>
      </c>
      <c r="Y73" s="4"/>
      <c r="Z73" s="4"/>
      <c r="AA73" s="4">
        <f aca="true" t="shared" si="41" ref="AA73:AB92">IF(AND(ISNUMBER(V73),ISNUMBER(U73)),V73-U73,"miss")</f>
        <v>0.551098252086831</v>
      </c>
      <c r="AB73" s="4">
        <f t="shared" si="41"/>
        <v>-3.7368229480490527</v>
      </c>
      <c r="AC73" s="4">
        <f aca="true" t="shared" si="42" ref="AC73:AC92">IF(AND(ISNUMBER(X73),ISNUMBER(V73)),X73-V73,"miss")</f>
        <v>-8.303878469914594</v>
      </c>
      <c r="AD73" s="4">
        <f aca="true" t="shared" si="43" ref="AD73:AD92">IF(AND(ISNUMBER(X73),ISNUMBER(W73)),X73-W73,"miss")</f>
        <v>-4.567055521865541</v>
      </c>
      <c r="AE73" s="4"/>
      <c r="AH73" s="185" t="str">
        <f aca="true" t="shared" si="44" ref="AH73:AH92">R73</f>
        <v>Exptal</v>
      </c>
      <c r="AI73" s="185" t="str">
        <f aca="true" t="shared" si="45" ref="AI73:AI92">S73</f>
        <v>Kerry</v>
      </c>
      <c r="AJ73" s="184">
        <f>IF(ISNUMBER(D73),D73,"miss")</f>
        <v>13.776209008775542</v>
      </c>
      <c r="AK73" s="44">
        <f aca="true" t="shared" si="46" ref="AK73:AK90">IF(ISNUMBER(E73),(RANK(E73,allraw,1)-1)/($E$107-1)*100,"miss")</f>
        <v>45.911949685534594</v>
      </c>
      <c r="AL73" s="44">
        <f aca="true" t="shared" si="47" ref="AL73:AL92">IF(ISNUMBER(F73),(RANK(F73,allraw,1)-1)/($E$107-1)*100,"miss")</f>
        <v>49.685534591194966</v>
      </c>
      <c r="AM73" s="44">
        <f aca="true" t="shared" si="48" ref="AM73:AM92">IF(ISNUMBER(G73),(RANK(G73,allraw,1)-1)/($E$107-1)*100,"miss")</f>
        <v>31.446540880503143</v>
      </c>
      <c r="AN73" s="44">
        <f aca="true" t="shared" si="49" ref="AN73:AN92">IF(ISNUMBER(H73),(RANK(H73,allraw,1)-1)/($E$107-1)*100,"miss")</f>
        <v>7.547169811320755</v>
      </c>
      <c r="AO73" s="3"/>
      <c r="AP73" s="3"/>
      <c r="AQ73" s="4">
        <f aca="true" t="shared" si="50" ref="AQ73:AR92">IF(AND(ISNUMBER(AL73),ISNUMBER(AK73)),AL73-AK73,"miss")</f>
        <v>3.773584905660371</v>
      </c>
      <c r="AR73" s="4">
        <f t="shared" si="50"/>
        <v>-18.238993710691823</v>
      </c>
      <c r="AS73" s="4">
        <f aca="true" t="shared" si="51" ref="AS73:AS92">IF(AND(ISNUMBER(AN73),ISNUMBER(AL73)),AN73-AL73,"miss")</f>
        <v>-42.13836477987421</v>
      </c>
      <c r="AT73" s="4">
        <f aca="true" t="shared" si="52" ref="AT73:AT92">IF(AND(ISNUMBER(AN73),ISNUMBER(AM73)),AN73-AM73,"miss")</f>
        <v>-23.899371069182386</v>
      </c>
      <c r="AU73" s="44"/>
    </row>
    <row r="74" spans="2:47" ht="12.75">
      <c r="B74" s="208" t="str">
        <f aca="true" t="shared" si="53" ref="B74:B92">B73</f>
        <v>Exptal</v>
      </c>
      <c r="C74" s="185" t="s">
        <v>41</v>
      </c>
      <c r="D74" s="176">
        <v>11.007148422869262</v>
      </c>
      <c r="E74" s="176">
        <v>334.0010909885604</v>
      </c>
      <c r="F74" s="176">
        <v>336.3313760988346</v>
      </c>
      <c r="G74" s="176">
        <v>342.8293497564257</v>
      </c>
      <c r="H74" s="176">
        <v>362.38029857706357</v>
      </c>
      <c r="J74" s="3"/>
      <c r="K74" s="4">
        <f t="shared" si="35"/>
        <v>2.3302851102741897</v>
      </c>
      <c r="L74" s="4">
        <f t="shared" si="35"/>
        <v>6.497973657591103</v>
      </c>
      <c r="M74" s="4">
        <f t="shared" si="36"/>
        <v>26.048922478228974</v>
      </c>
      <c r="N74" s="4">
        <f t="shared" si="37"/>
        <v>19.55094882063787</v>
      </c>
      <c r="O74" s="4"/>
      <c r="R74" s="208" t="str">
        <f t="shared" si="38"/>
        <v>Exptal</v>
      </c>
      <c r="S74" s="185" t="str">
        <f t="shared" si="39"/>
        <v>Kim</v>
      </c>
      <c r="T74" s="184">
        <f aca="true" t="shared" si="54" ref="T74:T92">IF(ISNUMBER(D74),D74,"miss")</f>
        <v>11.007148422869262</v>
      </c>
      <c r="U74" s="4">
        <f t="shared" si="40"/>
        <v>581.1144259404182</v>
      </c>
      <c r="V74" s="4">
        <f t="shared" si="40"/>
        <v>581.8096912339035</v>
      </c>
      <c r="W74" s="4">
        <f t="shared" si="40"/>
        <v>583.72328007845</v>
      </c>
      <c r="X74" s="4">
        <f t="shared" si="40"/>
        <v>589.2694208941238</v>
      </c>
      <c r="Y74" s="4"/>
      <c r="Z74" s="4"/>
      <c r="AA74" s="4">
        <f t="shared" si="41"/>
        <v>0.6952652934853631</v>
      </c>
      <c r="AB74" s="4">
        <f t="shared" si="41"/>
        <v>1.9135888445464388</v>
      </c>
      <c r="AC74" s="4">
        <f t="shared" si="42"/>
        <v>7.459729660220205</v>
      </c>
      <c r="AD74" s="4">
        <f t="shared" si="43"/>
        <v>5.546140815673766</v>
      </c>
      <c r="AE74" s="4"/>
      <c r="AH74" s="208" t="str">
        <f t="shared" si="44"/>
        <v>Exptal</v>
      </c>
      <c r="AI74" s="185" t="str">
        <f t="shared" si="45"/>
        <v>Kim</v>
      </c>
      <c r="AJ74" s="184">
        <f aca="true" t="shared" si="55" ref="AJ74:AJ92">IF(ISNUMBER(D74),D74,"miss")</f>
        <v>11.007148422869262</v>
      </c>
      <c r="AK74" s="44">
        <f t="shared" si="46"/>
        <v>0</v>
      </c>
      <c r="AL74" s="44">
        <f t="shared" si="47"/>
        <v>0.628930817610063</v>
      </c>
      <c r="AM74" s="44">
        <f t="shared" si="48"/>
        <v>1.257861635220126</v>
      </c>
      <c r="AN74" s="44">
        <f t="shared" si="49"/>
        <v>3.1446540880503147</v>
      </c>
      <c r="AO74" s="3"/>
      <c r="AP74" s="3"/>
      <c r="AQ74" s="4">
        <f t="shared" si="50"/>
        <v>0.628930817610063</v>
      </c>
      <c r="AR74" s="4">
        <f t="shared" si="50"/>
        <v>0.628930817610063</v>
      </c>
      <c r="AS74" s="4">
        <f t="shared" si="51"/>
        <v>2.515723270440252</v>
      </c>
      <c r="AT74" s="4">
        <f t="shared" si="52"/>
        <v>1.8867924528301887</v>
      </c>
      <c r="AU74" s="44"/>
    </row>
    <row r="75" spans="2:47" ht="12.75">
      <c r="B75" s="208" t="str">
        <f t="shared" si="53"/>
        <v>Exptal</v>
      </c>
      <c r="C75" s="185" t="s">
        <v>79</v>
      </c>
      <c r="D75" s="176">
        <v>11.384459813783169</v>
      </c>
      <c r="E75" s="176">
        <v>384.63664281481095</v>
      </c>
      <c r="F75" s="176">
        <v>383.27935073908753</v>
      </c>
      <c r="G75" s="176">
        <v>401.4339388684837</v>
      </c>
      <c r="H75" s="176">
        <v>393.3361212122474</v>
      </c>
      <c r="J75" s="3"/>
      <c r="K75" s="4">
        <f t="shared" si="35"/>
        <v>-1.3572920757234215</v>
      </c>
      <c r="L75" s="4">
        <f t="shared" si="35"/>
        <v>18.15458812939619</v>
      </c>
      <c r="M75" s="4">
        <f t="shared" si="36"/>
        <v>10.056770473159872</v>
      </c>
      <c r="N75" s="4">
        <f t="shared" si="37"/>
        <v>-8.097817656236316</v>
      </c>
      <c r="O75" s="4"/>
      <c r="R75" s="208" t="str">
        <f t="shared" si="38"/>
        <v>Exptal</v>
      </c>
      <c r="S75" s="185" t="str">
        <f t="shared" si="39"/>
        <v>Kylie</v>
      </c>
      <c r="T75" s="184">
        <f t="shared" si="54"/>
        <v>11.384459813783169</v>
      </c>
      <c r="U75" s="4">
        <f t="shared" si="40"/>
        <v>595.2299103745805</v>
      </c>
      <c r="V75" s="4">
        <f t="shared" si="40"/>
        <v>594.8764098613631</v>
      </c>
      <c r="W75" s="4">
        <f t="shared" si="40"/>
        <v>599.5042984029845</v>
      </c>
      <c r="X75" s="4">
        <f t="shared" si="40"/>
        <v>597.466451659423</v>
      </c>
      <c r="Y75" s="4"/>
      <c r="Z75" s="4"/>
      <c r="AA75" s="4">
        <f t="shared" si="41"/>
        <v>-0.3535005132174547</v>
      </c>
      <c r="AB75" s="4">
        <f t="shared" si="41"/>
        <v>4.6278885416214735</v>
      </c>
      <c r="AC75" s="4">
        <f t="shared" si="42"/>
        <v>2.5900417980599286</v>
      </c>
      <c r="AD75" s="4">
        <f t="shared" si="43"/>
        <v>-2.037846743561545</v>
      </c>
      <c r="AE75" s="4"/>
      <c r="AH75" s="208" t="str">
        <f t="shared" si="44"/>
        <v>Exptal</v>
      </c>
      <c r="AI75" s="185" t="str">
        <f t="shared" si="45"/>
        <v>Kylie</v>
      </c>
      <c r="AJ75" s="184">
        <f t="shared" si="55"/>
        <v>11.384459813783169</v>
      </c>
      <c r="AK75" s="44">
        <f t="shared" si="46"/>
        <v>20.125786163522015</v>
      </c>
      <c r="AL75" s="44">
        <f t="shared" si="47"/>
        <v>18.867924528301888</v>
      </c>
      <c r="AM75" s="44">
        <f t="shared" si="48"/>
        <v>43.39622641509434</v>
      </c>
      <c r="AN75" s="44">
        <f t="shared" si="49"/>
        <v>33.9622641509434</v>
      </c>
      <c r="AO75" s="3"/>
      <c r="AP75" s="3"/>
      <c r="AQ75" s="4">
        <f t="shared" si="50"/>
        <v>-1.2578616352201273</v>
      </c>
      <c r="AR75" s="4">
        <f t="shared" si="50"/>
        <v>24.528301886792452</v>
      </c>
      <c r="AS75" s="4">
        <f t="shared" si="51"/>
        <v>15.09433962264151</v>
      </c>
      <c r="AT75" s="4">
        <f t="shared" si="52"/>
        <v>-9.433962264150942</v>
      </c>
      <c r="AU75" s="44"/>
    </row>
    <row r="76" spans="2:47" ht="12.75">
      <c r="B76" s="208" t="str">
        <f t="shared" si="53"/>
        <v>Exptal</v>
      </c>
      <c r="C76" s="185" t="s">
        <v>80</v>
      </c>
      <c r="D76" s="176">
        <v>10.772839822582032</v>
      </c>
      <c r="E76" s="176">
        <v>367.8805474125577</v>
      </c>
      <c r="F76" s="176">
        <v>371.2548072391543</v>
      </c>
      <c r="G76" s="176">
        <v>382.1687115828348</v>
      </c>
      <c r="H76" s="176">
        <v>382.1680310289271</v>
      </c>
      <c r="J76" s="3"/>
      <c r="K76" s="4">
        <f t="shared" si="35"/>
        <v>3.3742598265965853</v>
      </c>
      <c r="L76" s="4">
        <f t="shared" si="35"/>
        <v>10.913904343680542</v>
      </c>
      <c r="M76" s="4">
        <f t="shared" si="36"/>
        <v>10.913223789772815</v>
      </c>
      <c r="N76" s="4">
        <f t="shared" si="37"/>
        <v>-0.000680553907727699</v>
      </c>
      <c r="O76" s="4"/>
      <c r="R76" s="208" t="str">
        <f t="shared" si="38"/>
        <v>Exptal</v>
      </c>
      <c r="S76" s="185" t="str">
        <f t="shared" si="39"/>
        <v>Lauren</v>
      </c>
      <c r="T76" s="184">
        <f t="shared" si="54"/>
        <v>10.772839822582032</v>
      </c>
      <c r="U76" s="4">
        <f t="shared" si="40"/>
        <v>590.7758286052738</v>
      </c>
      <c r="V76" s="4">
        <f t="shared" si="40"/>
        <v>591.688863882541</v>
      </c>
      <c r="W76" s="4">
        <f t="shared" si="40"/>
        <v>594.5862164464644</v>
      </c>
      <c r="X76" s="4">
        <f t="shared" si="40"/>
        <v>594.5860383694808</v>
      </c>
      <c r="Y76" s="4"/>
      <c r="Z76" s="4"/>
      <c r="AA76" s="4">
        <f t="shared" si="41"/>
        <v>0.9130352772672268</v>
      </c>
      <c r="AB76" s="4">
        <f t="shared" si="41"/>
        <v>2.8973525639233912</v>
      </c>
      <c r="AC76" s="4">
        <f t="shared" si="42"/>
        <v>2.8971744869397753</v>
      </c>
      <c r="AD76" s="4">
        <f t="shared" si="43"/>
        <v>-0.00017807698361593793</v>
      </c>
      <c r="AE76" s="4"/>
      <c r="AH76" s="208" t="str">
        <f t="shared" si="44"/>
        <v>Exptal</v>
      </c>
      <c r="AI76" s="185" t="str">
        <f t="shared" si="45"/>
        <v>Lauren</v>
      </c>
      <c r="AJ76" s="184">
        <f t="shared" si="55"/>
        <v>10.772839822582032</v>
      </c>
      <c r="AK76" s="44">
        <f t="shared" si="46"/>
        <v>4.40251572327044</v>
      </c>
      <c r="AL76" s="44">
        <f t="shared" si="47"/>
        <v>6.918238993710692</v>
      </c>
      <c r="AM76" s="44">
        <f t="shared" si="48"/>
        <v>16.352201257861633</v>
      </c>
      <c r="AN76" s="44">
        <f t="shared" si="49"/>
        <v>15.723270440251572</v>
      </c>
      <c r="AO76" s="3"/>
      <c r="AP76" s="3"/>
      <c r="AQ76" s="4">
        <f t="shared" si="50"/>
        <v>2.515723270440252</v>
      </c>
      <c r="AR76" s="4">
        <f t="shared" si="50"/>
        <v>9.433962264150942</v>
      </c>
      <c r="AS76" s="4">
        <f t="shared" si="51"/>
        <v>8.80503144654088</v>
      </c>
      <c r="AT76" s="4">
        <f t="shared" si="52"/>
        <v>-0.6289308176100619</v>
      </c>
      <c r="AU76" s="44"/>
    </row>
    <row r="77" spans="2:47" ht="12.75">
      <c r="B77" s="208" t="str">
        <f t="shared" si="53"/>
        <v>Exptal</v>
      </c>
      <c r="C77" s="185" t="s">
        <v>36</v>
      </c>
      <c r="D77" s="176">
        <v>6.167019564888161</v>
      </c>
      <c r="E77" s="176">
        <v>418.88159397439637</v>
      </c>
      <c r="F77" s="176">
        <v>433.36812038662424</v>
      </c>
      <c r="G77" s="176">
        <v>465.6604591858484</v>
      </c>
      <c r="H77" s="176">
        <v>455.0469568201908</v>
      </c>
      <c r="J77" s="3"/>
      <c r="K77" s="4">
        <f t="shared" si="35"/>
        <v>14.486526412227875</v>
      </c>
      <c r="L77" s="4">
        <f t="shared" si="35"/>
        <v>32.29233879922418</v>
      </c>
      <c r="M77" s="4">
        <f t="shared" si="36"/>
        <v>21.678836433566573</v>
      </c>
      <c r="N77" s="4">
        <f t="shared" si="37"/>
        <v>-10.61350236565761</v>
      </c>
      <c r="O77" s="4"/>
      <c r="R77" s="208" t="str">
        <f t="shared" si="38"/>
        <v>Exptal</v>
      </c>
      <c r="S77" s="185" t="str">
        <f t="shared" si="39"/>
        <v>Lee</v>
      </c>
      <c r="T77" s="184">
        <f t="shared" si="54"/>
        <v>6.167019564888161</v>
      </c>
      <c r="U77" s="4">
        <f t="shared" si="40"/>
        <v>603.7588288038962</v>
      </c>
      <c r="V77" s="4">
        <f t="shared" si="40"/>
        <v>607.1587529374714</v>
      </c>
      <c r="W77" s="4">
        <f t="shared" si="40"/>
        <v>614.3456740190443</v>
      </c>
      <c r="X77" s="4">
        <f t="shared" si="40"/>
        <v>612.0400615428628</v>
      </c>
      <c r="Y77" s="4"/>
      <c r="Z77" s="4"/>
      <c r="AA77" s="4">
        <f t="shared" si="41"/>
        <v>3.399924133575155</v>
      </c>
      <c r="AB77" s="4">
        <f t="shared" si="41"/>
        <v>7.186921081572905</v>
      </c>
      <c r="AC77" s="4">
        <f t="shared" si="42"/>
        <v>4.881308605391382</v>
      </c>
      <c r="AD77" s="4">
        <f t="shared" si="43"/>
        <v>-2.3056124761815227</v>
      </c>
      <c r="AE77" s="4"/>
      <c r="AH77" s="208" t="str">
        <f t="shared" si="44"/>
        <v>Exptal</v>
      </c>
      <c r="AI77" s="185" t="str">
        <f t="shared" si="45"/>
        <v>Lee</v>
      </c>
      <c r="AJ77" s="184">
        <f t="shared" si="55"/>
        <v>6.167019564888161</v>
      </c>
      <c r="AK77" s="44">
        <f t="shared" si="46"/>
        <v>72.32704402515722</v>
      </c>
      <c r="AL77" s="44">
        <f t="shared" si="47"/>
        <v>91.19496855345912</v>
      </c>
      <c r="AM77" s="44">
        <f t="shared" si="48"/>
        <v>100</v>
      </c>
      <c r="AN77" s="44">
        <f t="shared" si="49"/>
        <v>99.37106918238993</v>
      </c>
      <c r="AO77" s="3"/>
      <c r="AP77" s="3"/>
      <c r="AQ77" s="4">
        <f t="shared" si="50"/>
        <v>18.8679245283019</v>
      </c>
      <c r="AR77" s="4">
        <f t="shared" si="50"/>
        <v>8.80503144654088</v>
      </c>
      <c r="AS77" s="4">
        <f t="shared" si="51"/>
        <v>8.176100628930811</v>
      </c>
      <c r="AT77" s="4">
        <f t="shared" si="52"/>
        <v>-0.628930817610069</v>
      </c>
      <c r="AU77" s="44"/>
    </row>
    <row r="78" spans="2:47" ht="12.75">
      <c r="B78" s="208" t="str">
        <f t="shared" si="53"/>
        <v>Exptal</v>
      </c>
      <c r="C78" s="185" t="s">
        <v>37</v>
      </c>
      <c r="D78" s="176">
        <v>3.0700081084607245</v>
      </c>
      <c r="E78" s="176">
        <v>406.5931465406912</v>
      </c>
      <c r="F78" s="176">
        <v>412.84497388091523</v>
      </c>
      <c r="G78" s="176">
        <v>405.90915434975204</v>
      </c>
      <c r="H78" s="176">
        <v>423.63219714374424</v>
      </c>
      <c r="J78" s="3"/>
      <c r="K78" s="4">
        <f t="shared" si="35"/>
        <v>6.251827340224054</v>
      </c>
      <c r="L78" s="4">
        <f t="shared" si="35"/>
        <v>-6.93581953116319</v>
      </c>
      <c r="M78" s="4">
        <f t="shared" si="36"/>
        <v>10.787223262829002</v>
      </c>
      <c r="N78" s="4">
        <f t="shared" si="37"/>
        <v>17.723042793992192</v>
      </c>
      <c r="O78" s="4"/>
      <c r="R78" s="208" t="str">
        <f t="shared" si="38"/>
        <v>Exptal</v>
      </c>
      <c r="S78" s="185" t="str">
        <f t="shared" si="39"/>
        <v>Leslie</v>
      </c>
      <c r="T78" s="184">
        <f t="shared" si="54"/>
        <v>3.0700081084607245</v>
      </c>
      <c r="U78" s="4">
        <f t="shared" si="40"/>
        <v>600.7813045520196</v>
      </c>
      <c r="V78" s="4">
        <f t="shared" si="40"/>
        <v>602.3072156587842</v>
      </c>
      <c r="W78" s="4">
        <f t="shared" si="40"/>
        <v>600.6129376805</v>
      </c>
      <c r="X78" s="4">
        <f t="shared" si="40"/>
        <v>604.8865619204541</v>
      </c>
      <c r="Y78" s="4"/>
      <c r="Z78" s="4"/>
      <c r="AA78" s="4">
        <f t="shared" si="41"/>
        <v>1.5259111067646245</v>
      </c>
      <c r="AB78" s="4">
        <f t="shared" si="41"/>
        <v>-1.6942779782842763</v>
      </c>
      <c r="AC78" s="4">
        <f t="shared" si="42"/>
        <v>2.5793462616699117</v>
      </c>
      <c r="AD78" s="4">
        <f t="shared" si="43"/>
        <v>4.273624239954188</v>
      </c>
      <c r="AE78" s="4"/>
      <c r="AH78" s="208" t="str">
        <f t="shared" si="44"/>
        <v>Exptal</v>
      </c>
      <c r="AI78" s="185" t="str">
        <f t="shared" si="45"/>
        <v>Leslie</v>
      </c>
      <c r="AJ78" s="184">
        <f t="shared" si="55"/>
        <v>3.0700081084607245</v>
      </c>
      <c r="AK78" s="44">
        <f t="shared" si="46"/>
        <v>51.57232704402516</v>
      </c>
      <c r="AL78" s="44">
        <f t="shared" si="47"/>
        <v>63.52201257861635</v>
      </c>
      <c r="AM78" s="44">
        <f t="shared" si="48"/>
        <v>50.314465408805034</v>
      </c>
      <c r="AN78" s="44">
        <f t="shared" si="49"/>
        <v>79.87421383647799</v>
      </c>
      <c r="AO78" s="3"/>
      <c r="AP78" s="3"/>
      <c r="AQ78" s="4">
        <f t="shared" si="50"/>
        <v>11.94968553459119</v>
      </c>
      <c r="AR78" s="4">
        <f t="shared" si="50"/>
        <v>-13.207547169811313</v>
      </c>
      <c r="AS78" s="4">
        <f t="shared" si="51"/>
        <v>16.352201257861644</v>
      </c>
      <c r="AT78" s="4">
        <f t="shared" si="52"/>
        <v>29.559748427672957</v>
      </c>
      <c r="AU78" s="44"/>
    </row>
    <row r="79" spans="2:47" ht="12.75">
      <c r="B79" s="208" t="str">
        <f t="shared" si="53"/>
        <v>Exptal</v>
      </c>
      <c r="C79" s="185" t="s">
        <v>81</v>
      </c>
      <c r="D79" s="176">
        <v>6.026656178528735</v>
      </c>
      <c r="E79" s="176">
        <v>374.70795596566586</v>
      </c>
      <c r="F79" s="176">
        <v>416.0136964756848</v>
      </c>
      <c r="G79" s="176">
        <v>433.7735501907632</v>
      </c>
      <c r="H79" s="176">
        <v>421.3771399981474</v>
      </c>
      <c r="J79" s="3"/>
      <c r="K79" s="4">
        <f t="shared" si="35"/>
        <v>41.30574051001895</v>
      </c>
      <c r="L79" s="4">
        <f t="shared" si="35"/>
        <v>17.759853715078407</v>
      </c>
      <c r="M79" s="4">
        <f t="shared" si="36"/>
        <v>5.363443522462603</v>
      </c>
      <c r="N79" s="4">
        <f t="shared" si="37"/>
        <v>-12.396410192615804</v>
      </c>
      <c r="O79" s="4"/>
      <c r="R79" s="208" t="str">
        <f t="shared" si="38"/>
        <v>Exptal</v>
      </c>
      <c r="S79" s="185" t="str">
        <f t="shared" si="39"/>
        <v>Lindsay</v>
      </c>
      <c r="T79" s="184">
        <f t="shared" si="54"/>
        <v>6.026656178528735</v>
      </c>
      <c r="U79" s="4">
        <f t="shared" si="40"/>
        <v>592.6146938468985</v>
      </c>
      <c r="V79" s="4">
        <f t="shared" si="40"/>
        <v>603.0718183939669</v>
      </c>
      <c r="W79" s="4">
        <f t="shared" si="40"/>
        <v>607.2522624175109</v>
      </c>
      <c r="X79" s="4">
        <f t="shared" si="40"/>
        <v>604.352825214862</v>
      </c>
      <c r="Y79" s="4"/>
      <c r="Z79" s="4"/>
      <c r="AA79" s="4">
        <f t="shared" si="41"/>
        <v>10.45712454706836</v>
      </c>
      <c r="AB79" s="4">
        <f t="shared" si="41"/>
        <v>4.180444023544055</v>
      </c>
      <c r="AC79" s="4">
        <f t="shared" si="42"/>
        <v>1.2810068208951861</v>
      </c>
      <c r="AD79" s="4">
        <f t="shared" si="43"/>
        <v>-2.899437202648869</v>
      </c>
      <c r="AE79" s="4"/>
      <c r="AH79" s="208" t="str">
        <f t="shared" si="44"/>
        <v>Exptal</v>
      </c>
      <c r="AI79" s="185" t="str">
        <f t="shared" si="45"/>
        <v>Lindsay</v>
      </c>
      <c r="AJ79" s="184">
        <f t="shared" si="55"/>
        <v>6.026656178528735</v>
      </c>
      <c r="AK79" s="44">
        <f t="shared" si="46"/>
        <v>8.80503144654088</v>
      </c>
      <c r="AL79" s="44">
        <f t="shared" si="47"/>
        <v>68.55345911949685</v>
      </c>
      <c r="AM79" s="44">
        <f t="shared" si="48"/>
        <v>91.82389937106919</v>
      </c>
      <c r="AN79" s="44">
        <f t="shared" si="49"/>
        <v>76.72955974842768</v>
      </c>
      <c r="AO79" s="3"/>
      <c r="AP79" s="3"/>
      <c r="AQ79" s="4">
        <f t="shared" si="50"/>
        <v>59.74842767295597</v>
      </c>
      <c r="AR79" s="4">
        <f t="shared" si="50"/>
        <v>23.27044025157234</v>
      </c>
      <c r="AS79" s="4">
        <f t="shared" si="51"/>
        <v>8.176100628930826</v>
      </c>
      <c r="AT79" s="4">
        <f t="shared" si="52"/>
        <v>-15.094339622641513</v>
      </c>
      <c r="AU79" s="44"/>
    </row>
    <row r="80" spans="2:47" ht="12.75">
      <c r="B80" s="208" t="str">
        <f t="shared" si="53"/>
        <v>Exptal</v>
      </c>
      <c r="C80" s="185" t="s">
        <v>38</v>
      </c>
      <c r="D80" s="176">
        <v>8.579595234394652</v>
      </c>
      <c r="E80" s="176">
        <v>395.38240935957685</v>
      </c>
      <c r="F80" s="176">
        <v>403.2757587931983</v>
      </c>
      <c r="G80" s="176">
        <v>419.23076795393854</v>
      </c>
      <c r="H80" s="176">
        <v>384.7209537601099</v>
      </c>
      <c r="J80" s="3"/>
      <c r="K80" s="4">
        <f t="shared" si="35"/>
        <v>7.893349433621438</v>
      </c>
      <c r="L80" s="4">
        <f t="shared" si="35"/>
        <v>15.955009160740246</v>
      </c>
      <c r="M80" s="4">
        <f t="shared" si="36"/>
        <v>-18.55480503308837</v>
      </c>
      <c r="N80" s="4">
        <f t="shared" si="37"/>
        <v>-34.50981419382862</v>
      </c>
      <c r="O80" s="4"/>
      <c r="R80" s="208" t="str">
        <f t="shared" si="38"/>
        <v>Exptal</v>
      </c>
      <c r="S80" s="185" t="str">
        <f t="shared" si="39"/>
        <v>Morgan</v>
      </c>
      <c r="T80" s="184">
        <f t="shared" si="54"/>
        <v>8.579595234394652</v>
      </c>
      <c r="U80" s="4">
        <f t="shared" si="40"/>
        <v>597.985342153135</v>
      </c>
      <c r="V80" s="4">
        <f t="shared" si="40"/>
        <v>599.962059293966</v>
      </c>
      <c r="W80" s="4">
        <f t="shared" si="40"/>
        <v>603.8421527150102</v>
      </c>
      <c r="X80" s="4">
        <f t="shared" si="40"/>
        <v>595.2518276068305</v>
      </c>
      <c r="Y80" s="4"/>
      <c r="Z80" s="4"/>
      <c r="AA80" s="4">
        <f t="shared" si="41"/>
        <v>1.976717140831056</v>
      </c>
      <c r="AB80" s="4">
        <f t="shared" si="41"/>
        <v>3.8800934210441937</v>
      </c>
      <c r="AC80" s="4">
        <f t="shared" si="42"/>
        <v>-4.710231687135547</v>
      </c>
      <c r="AD80" s="4">
        <f t="shared" si="43"/>
        <v>-8.59032510817974</v>
      </c>
      <c r="AE80" s="4"/>
      <c r="AH80" s="208" t="str">
        <f t="shared" si="44"/>
        <v>Exptal</v>
      </c>
      <c r="AI80" s="185" t="str">
        <f t="shared" si="45"/>
        <v>Morgan</v>
      </c>
      <c r="AJ80" s="184">
        <f t="shared" si="55"/>
        <v>8.579595234394652</v>
      </c>
      <c r="AK80" s="44">
        <f t="shared" si="46"/>
        <v>37.735849056603776</v>
      </c>
      <c r="AL80" s="44">
        <f t="shared" si="47"/>
        <v>47.16981132075472</v>
      </c>
      <c r="AM80" s="44">
        <f t="shared" si="48"/>
        <v>73.58490566037736</v>
      </c>
      <c r="AN80" s="44">
        <f t="shared" si="49"/>
        <v>20.754716981132077</v>
      </c>
      <c r="AO80" s="3"/>
      <c r="AP80" s="3"/>
      <c r="AQ80" s="4">
        <f t="shared" si="50"/>
        <v>9.433962264150942</v>
      </c>
      <c r="AR80" s="4">
        <f t="shared" si="50"/>
        <v>26.41509433962264</v>
      </c>
      <c r="AS80" s="4">
        <f t="shared" si="51"/>
        <v>-26.41509433962264</v>
      </c>
      <c r="AT80" s="4">
        <f t="shared" si="52"/>
        <v>-52.83018867924528</v>
      </c>
      <c r="AU80" s="44"/>
    </row>
    <row r="81" spans="2:47" ht="12.75">
      <c r="B81" s="208" t="str">
        <f t="shared" si="53"/>
        <v>Exptal</v>
      </c>
      <c r="C81" s="185" t="s">
        <v>42</v>
      </c>
      <c r="D81" s="176">
        <v>10.271094847436206</v>
      </c>
      <c r="E81" s="176">
        <v>385.1513656722977</v>
      </c>
      <c r="F81" s="176">
        <v>403.16425647644485</v>
      </c>
      <c r="G81" s="176">
        <v>390.42270698937534</v>
      </c>
      <c r="H81" s="176">
        <v>401.45854841066387</v>
      </c>
      <c r="J81" s="3"/>
      <c r="K81" s="4">
        <f t="shared" si="35"/>
        <v>18.012890804147162</v>
      </c>
      <c r="L81" s="4">
        <f t="shared" si="35"/>
        <v>-12.741549487069506</v>
      </c>
      <c r="M81" s="4">
        <f t="shared" si="36"/>
        <v>-1.705708065780982</v>
      </c>
      <c r="N81" s="4">
        <f t="shared" si="37"/>
        <v>11.035841421288524</v>
      </c>
      <c r="O81" s="4"/>
      <c r="R81" s="208" t="str">
        <f t="shared" si="38"/>
        <v>Exptal</v>
      </c>
      <c r="S81" s="185" t="str">
        <f t="shared" si="39"/>
        <v>Pat</v>
      </c>
      <c r="T81" s="184">
        <f t="shared" si="54"/>
        <v>10.271094847436206</v>
      </c>
      <c r="U81" s="4">
        <f t="shared" si="40"/>
        <v>595.3636414611974</v>
      </c>
      <c r="V81" s="4">
        <f t="shared" si="40"/>
        <v>599.9344063215558</v>
      </c>
      <c r="W81" s="4">
        <f t="shared" si="40"/>
        <v>596.7230016242429</v>
      </c>
      <c r="X81" s="4">
        <f t="shared" si="40"/>
        <v>599.5104286240485</v>
      </c>
      <c r="Y81" s="4"/>
      <c r="Z81" s="4"/>
      <c r="AA81" s="4">
        <f t="shared" si="41"/>
        <v>4.570764860358395</v>
      </c>
      <c r="AB81" s="4">
        <f t="shared" si="41"/>
        <v>-3.2114046973129007</v>
      </c>
      <c r="AC81" s="4">
        <f t="shared" si="42"/>
        <v>-0.4239776975073255</v>
      </c>
      <c r="AD81" s="4">
        <f t="shared" si="43"/>
        <v>2.787426999805575</v>
      </c>
      <c r="AE81" s="4"/>
      <c r="AH81" s="208" t="str">
        <f t="shared" si="44"/>
        <v>Exptal</v>
      </c>
      <c r="AI81" s="185" t="str">
        <f t="shared" si="45"/>
        <v>Pat</v>
      </c>
      <c r="AJ81" s="184">
        <f t="shared" si="55"/>
        <v>10.271094847436206</v>
      </c>
      <c r="AK81" s="44">
        <f t="shared" si="46"/>
        <v>22.0125786163522</v>
      </c>
      <c r="AL81" s="44">
        <f t="shared" si="47"/>
        <v>46.540880503144656</v>
      </c>
      <c r="AM81" s="44">
        <f t="shared" si="48"/>
        <v>30.81761006289308</v>
      </c>
      <c r="AN81" s="44">
        <f t="shared" si="49"/>
        <v>44.0251572327044</v>
      </c>
      <c r="AO81" s="3"/>
      <c r="AP81" s="3"/>
      <c r="AQ81" s="4">
        <f t="shared" si="50"/>
        <v>24.528301886792455</v>
      </c>
      <c r="AR81" s="4">
        <f t="shared" si="50"/>
        <v>-15.723270440251575</v>
      </c>
      <c r="AS81" s="4">
        <f t="shared" si="51"/>
        <v>-2.5157232704402546</v>
      </c>
      <c r="AT81" s="4">
        <f t="shared" si="52"/>
        <v>13.20754716981132</v>
      </c>
      <c r="AU81" s="44"/>
    </row>
    <row r="82" spans="2:47" ht="12.75">
      <c r="B82" s="208" t="str">
        <f t="shared" si="53"/>
        <v>Exptal</v>
      </c>
      <c r="C82" s="185" t="s">
        <v>82</v>
      </c>
      <c r="D82" s="176">
        <v>3.2439257981571377</v>
      </c>
      <c r="E82" s="176">
        <v>379.1534664146669</v>
      </c>
      <c r="F82" s="176">
        <v>398.37046939082137</v>
      </c>
      <c r="G82" s="176">
        <v>439.7339766983928</v>
      </c>
      <c r="H82" s="176">
        <v>438.7331637717295</v>
      </c>
      <c r="J82" s="3"/>
      <c r="K82" s="4">
        <f t="shared" si="35"/>
        <v>19.217002976154447</v>
      </c>
      <c r="L82" s="4">
        <f t="shared" si="35"/>
        <v>41.36350730757141</v>
      </c>
      <c r="M82" s="4">
        <f t="shared" si="36"/>
        <v>40.362694380908124</v>
      </c>
      <c r="N82" s="4">
        <f t="shared" si="37"/>
        <v>-1.0008129266632864</v>
      </c>
      <c r="O82" s="4"/>
      <c r="R82" s="208" t="str">
        <f t="shared" si="38"/>
        <v>Exptal</v>
      </c>
      <c r="S82" s="185" t="str">
        <f t="shared" si="39"/>
        <v>Reilly</v>
      </c>
      <c r="T82" s="184">
        <f t="shared" si="54"/>
        <v>3.2439257981571377</v>
      </c>
      <c r="U82" s="4">
        <f t="shared" si="40"/>
        <v>593.7941047699551</v>
      </c>
      <c r="V82" s="4">
        <f t="shared" si="40"/>
        <v>598.7382399948191</v>
      </c>
      <c r="W82" s="4">
        <f t="shared" si="40"/>
        <v>608.6169945656242</v>
      </c>
      <c r="X82" s="4">
        <f t="shared" si="40"/>
        <v>608.389140087396</v>
      </c>
      <c r="Y82" s="4"/>
      <c r="Z82" s="4"/>
      <c r="AA82" s="4">
        <f t="shared" si="41"/>
        <v>4.944135224863999</v>
      </c>
      <c r="AB82" s="4">
        <f t="shared" si="41"/>
        <v>9.878754570805086</v>
      </c>
      <c r="AC82" s="4">
        <f t="shared" si="42"/>
        <v>9.650900092576876</v>
      </c>
      <c r="AD82" s="4">
        <f t="shared" si="43"/>
        <v>-0.2278544782282097</v>
      </c>
      <c r="AE82" s="4"/>
      <c r="AH82" s="208" t="str">
        <f t="shared" si="44"/>
        <v>Exptal</v>
      </c>
      <c r="AI82" s="185" t="str">
        <f t="shared" si="45"/>
        <v>Reilly</v>
      </c>
      <c r="AJ82" s="184">
        <f t="shared" si="55"/>
        <v>3.2439257981571377</v>
      </c>
      <c r="AK82" s="44">
        <f t="shared" si="46"/>
        <v>13.836477987421384</v>
      </c>
      <c r="AL82" s="44">
        <f t="shared" si="47"/>
        <v>40.25157232704403</v>
      </c>
      <c r="AM82" s="44">
        <f t="shared" si="48"/>
        <v>94.9685534591195</v>
      </c>
      <c r="AN82" s="44">
        <f t="shared" si="49"/>
        <v>93.71069182389937</v>
      </c>
      <c r="AO82" s="3"/>
      <c r="AP82" s="3"/>
      <c r="AQ82" s="4">
        <f t="shared" si="50"/>
        <v>26.415094339622648</v>
      </c>
      <c r="AR82" s="4">
        <f t="shared" si="50"/>
        <v>54.716981132075475</v>
      </c>
      <c r="AS82" s="4">
        <f t="shared" si="51"/>
        <v>53.45911949685534</v>
      </c>
      <c r="AT82" s="4">
        <f t="shared" si="52"/>
        <v>-1.257861635220138</v>
      </c>
      <c r="AU82" s="44"/>
    </row>
    <row r="83" spans="2:47" ht="12.75">
      <c r="B83" s="208" t="str">
        <f t="shared" si="53"/>
        <v>Exptal</v>
      </c>
      <c r="C83" s="185" t="s">
        <v>39</v>
      </c>
      <c r="D83" s="176">
        <v>9.04524552833012</v>
      </c>
      <c r="E83" s="176">
        <v>393.41649273353374</v>
      </c>
      <c r="F83" s="176">
        <v>400.06724710884555</v>
      </c>
      <c r="G83" s="176">
        <v>410.9193793854485</v>
      </c>
      <c r="H83" s="176">
        <v>389.58231705540675</v>
      </c>
      <c r="J83" s="3"/>
      <c r="K83" s="4">
        <f t="shared" si="35"/>
        <v>6.650754375311806</v>
      </c>
      <c r="L83" s="4">
        <f t="shared" si="35"/>
        <v>10.852132276602958</v>
      </c>
      <c r="M83" s="4">
        <f t="shared" si="36"/>
        <v>-10.484930053438802</v>
      </c>
      <c r="N83" s="4">
        <f t="shared" si="37"/>
        <v>-21.33706233004176</v>
      </c>
      <c r="O83" s="4"/>
      <c r="R83" s="208" t="str">
        <f t="shared" si="38"/>
        <v>Exptal</v>
      </c>
      <c r="S83" s="185" t="str">
        <f t="shared" si="39"/>
        <v>Robin</v>
      </c>
      <c r="T83" s="184">
        <f t="shared" si="54"/>
        <v>9.04524552833012</v>
      </c>
      <c r="U83" s="4">
        <f t="shared" si="40"/>
        <v>597.4868828648976</v>
      </c>
      <c r="V83" s="4">
        <f t="shared" si="40"/>
        <v>599.1632650749887</v>
      </c>
      <c r="W83" s="4">
        <f t="shared" si="40"/>
        <v>601.8397038041871</v>
      </c>
      <c r="X83" s="4">
        <f t="shared" si="40"/>
        <v>596.5075183303552</v>
      </c>
      <c r="Y83" s="4"/>
      <c r="Z83" s="4"/>
      <c r="AA83" s="4">
        <f t="shared" si="41"/>
        <v>1.6763822100911057</v>
      </c>
      <c r="AB83" s="4">
        <f t="shared" si="41"/>
        <v>2.6764387291984804</v>
      </c>
      <c r="AC83" s="4">
        <f t="shared" si="42"/>
        <v>-2.6557467446334613</v>
      </c>
      <c r="AD83" s="4">
        <f t="shared" si="43"/>
        <v>-5.332185473831942</v>
      </c>
      <c r="AE83" s="4"/>
      <c r="AH83" s="208" t="str">
        <f t="shared" si="44"/>
        <v>Exptal</v>
      </c>
      <c r="AI83" s="185" t="str">
        <f t="shared" si="45"/>
        <v>Robin</v>
      </c>
      <c r="AJ83" s="184">
        <f t="shared" si="55"/>
        <v>9.04524552833012</v>
      </c>
      <c r="AK83" s="44">
        <f t="shared" si="46"/>
        <v>34.59119496855346</v>
      </c>
      <c r="AL83" s="44">
        <f t="shared" si="47"/>
        <v>42.138364779874216</v>
      </c>
      <c r="AM83" s="44">
        <f t="shared" si="48"/>
        <v>59.74842767295597</v>
      </c>
      <c r="AN83" s="44">
        <f t="shared" si="49"/>
        <v>30.18867924528302</v>
      </c>
      <c r="AO83" s="3"/>
      <c r="AP83" s="3"/>
      <c r="AQ83" s="4">
        <f t="shared" si="50"/>
        <v>7.547169811320757</v>
      </c>
      <c r="AR83" s="4">
        <f t="shared" si="50"/>
        <v>17.610062893081754</v>
      </c>
      <c r="AS83" s="4">
        <f t="shared" si="51"/>
        <v>-11.949685534591197</v>
      </c>
      <c r="AT83" s="4">
        <f t="shared" si="52"/>
        <v>-29.55974842767295</v>
      </c>
      <c r="AU83" s="44"/>
    </row>
    <row r="84" spans="2:47" ht="12.75">
      <c r="B84" s="208" t="str">
        <f t="shared" si="53"/>
        <v>Exptal</v>
      </c>
      <c r="C84" s="185" t="s">
        <v>83</v>
      </c>
      <c r="D84" s="176">
        <v>10.485463397837401</v>
      </c>
      <c r="E84" s="176">
        <v>375.01124278374743</v>
      </c>
      <c r="F84" s="176">
        <v>395.59710221988485</v>
      </c>
      <c r="G84" s="176">
        <v>388.88111890466695</v>
      </c>
      <c r="H84" s="176">
        <v>389.2887192608364</v>
      </c>
      <c r="J84" s="3"/>
      <c r="K84" s="4">
        <f t="shared" si="35"/>
        <v>20.58585943613741</v>
      </c>
      <c r="L84" s="4">
        <f t="shared" si="35"/>
        <v>-6.715983315217898</v>
      </c>
      <c r="M84" s="4">
        <f t="shared" si="36"/>
        <v>-6.308382959048458</v>
      </c>
      <c r="N84" s="4">
        <f t="shared" si="37"/>
        <v>0.40760035616943924</v>
      </c>
      <c r="O84" s="4"/>
      <c r="R84" s="208" t="str">
        <f t="shared" si="38"/>
        <v>Exptal</v>
      </c>
      <c r="S84" s="185" t="str">
        <f t="shared" si="39"/>
        <v>Sage</v>
      </c>
      <c r="T84" s="184">
        <f t="shared" si="54"/>
        <v>10.485463397837401</v>
      </c>
      <c r="U84" s="4">
        <f t="shared" si="40"/>
        <v>592.6956006277658</v>
      </c>
      <c r="V84" s="4">
        <f t="shared" si="40"/>
        <v>598.039627469616</v>
      </c>
      <c r="W84" s="4">
        <f t="shared" si="40"/>
        <v>596.3273689982256</v>
      </c>
      <c r="X84" s="4">
        <f t="shared" si="40"/>
        <v>596.4321277214386</v>
      </c>
      <c r="Y84" s="4"/>
      <c r="Z84" s="4"/>
      <c r="AA84" s="4">
        <f t="shared" si="41"/>
        <v>5.344026841850223</v>
      </c>
      <c r="AB84" s="4">
        <f t="shared" si="41"/>
        <v>-1.7122584713904416</v>
      </c>
      <c r="AC84" s="4">
        <f t="shared" si="42"/>
        <v>-1.6074997481773607</v>
      </c>
      <c r="AD84" s="4">
        <f t="shared" si="43"/>
        <v>0.10475872321308088</v>
      </c>
      <c r="AE84" s="4"/>
      <c r="AH84" s="208" t="str">
        <f t="shared" si="44"/>
        <v>Exptal</v>
      </c>
      <c r="AI84" s="185" t="str">
        <f t="shared" si="45"/>
        <v>Sage</v>
      </c>
      <c r="AJ84" s="184">
        <f t="shared" si="55"/>
        <v>10.485463397837401</v>
      </c>
      <c r="AK84" s="44">
        <f t="shared" si="46"/>
        <v>9.433962264150944</v>
      </c>
      <c r="AL84" s="44">
        <f t="shared" si="47"/>
        <v>38.36477987421384</v>
      </c>
      <c r="AM84" s="44">
        <f t="shared" si="48"/>
        <v>27.67295597484277</v>
      </c>
      <c r="AN84" s="44">
        <f t="shared" si="49"/>
        <v>28.30188679245283</v>
      </c>
      <c r="AO84" s="3"/>
      <c r="AP84" s="3"/>
      <c r="AQ84" s="4">
        <f t="shared" si="50"/>
        <v>28.930817610062896</v>
      </c>
      <c r="AR84" s="4">
        <f t="shared" si="50"/>
        <v>-10.69182389937107</v>
      </c>
      <c r="AS84" s="4">
        <f t="shared" si="51"/>
        <v>-10.062893081761008</v>
      </c>
      <c r="AT84" s="4">
        <f t="shared" si="52"/>
        <v>0.6289308176100619</v>
      </c>
      <c r="AU84" s="44"/>
    </row>
    <row r="85" spans="2:47" ht="12.75">
      <c r="B85" s="208" t="str">
        <f t="shared" si="53"/>
        <v>Exptal</v>
      </c>
      <c r="C85" s="185" t="s">
        <v>1</v>
      </c>
      <c r="D85" s="176">
        <v>6.205391930628312</v>
      </c>
      <c r="E85" s="176">
        <v>390.8040203986892</v>
      </c>
      <c r="F85" s="176">
        <v>375.95201900558465</v>
      </c>
      <c r="G85" s="176">
        <v>406.8127486332513</v>
      </c>
      <c r="H85" s="176">
        <v>389.57062003196654</v>
      </c>
      <c r="J85" s="3"/>
      <c r="K85" s="4">
        <f t="shared" si="35"/>
        <v>-14.852001393104558</v>
      </c>
      <c r="L85" s="4">
        <f t="shared" si="35"/>
        <v>30.86072962766667</v>
      </c>
      <c r="M85" s="4">
        <f t="shared" si="36"/>
        <v>13.618601026381896</v>
      </c>
      <c r="N85" s="4">
        <f t="shared" si="37"/>
        <v>-17.242128601284776</v>
      </c>
      <c r="O85" s="4"/>
      <c r="R85" s="208" t="str">
        <f t="shared" si="38"/>
        <v>Exptal</v>
      </c>
      <c r="S85" s="185" t="str">
        <f t="shared" si="39"/>
        <v>Sam</v>
      </c>
      <c r="T85" s="184">
        <f t="shared" si="54"/>
        <v>6.205391930628312</v>
      </c>
      <c r="U85" s="4">
        <f t="shared" si="40"/>
        <v>596.8206207727505</v>
      </c>
      <c r="V85" s="4">
        <f t="shared" si="40"/>
        <v>592.946152621947</v>
      </c>
      <c r="W85" s="4">
        <f t="shared" si="40"/>
        <v>600.8353002506489</v>
      </c>
      <c r="X85" s="4">
        <f t="shared" si="40"/>
        <v>596.504515832929</v>
      </c>
      <c r="Y85" s="4"/>
      <c r="Z85" s="4"/>
      <c r="AA85" s="4">
        <f t="shared" si="41"/>
        <v>-3.874468150803523</v>
      </c>
      <c r="AB85" s="4">
        <f t="shared" si="41"/>
        <v>7.889147628701835</v>
      </c>
      <c r="AC85" s="4">
        <f t="shared" si="42"/>
        <v>3.558363210981952</v>
      </c>
      <c r="AD85" s="4">
        <f t="shared" si="43"/>
        <v>-4.330784417719883</v>
      </c>
      <c r="AE85" s="4"/>
      <c r="AH85" s="208" t="str">
        <f t="shared" si="44"/>
        <v>Exptal</v>
      </c>
      <c r="AI85" s="185" t="str">
        <f t="shared" si="45"/>
        <v>Sam</v>
      </c>
      <c r="AJ85" s="184">
        <f t="shared" si="55"/>
        <v>6.205391930628312</v>
      </c>
      <c r="AK85" s="44">
        <f t="shared" si="46"/>
        <v>32.075471698113205</v>
      </c>
      <c r="AL85" s="44">
        <f t="shared" si="47"/>
        <v>10.69182389937107</v>
      </c>
      <c r="AM85" s="44">
        <f t="shared" si="48"/>
        <v>52.20125786163522</v>
      </c>
      <c r="AN85" s="44">
        <f t="shared" si="49"/>
        <v>29.559748427672954</v>
      </c>
      <c r="AO85" s="3"/>
      <c r="AP85" s="3"/>
      <c r="AQ85" s="4">
        <f t="shared" si="50"/>
        <v>-21.383647798742135</v>
      </c>
      <c r="AR85" s="4">
        <f t="shared" si="50"/>
        <v>41.509433962264154</v>
      </c>
      <c r="AS85" s="4">
        <f t="shared" si="51"/>
        <v>18.867924528301884</v>
      </c>
      <c r="AT85" s="4">
        <f t="shared" si="52"/>
        <v>-22.641509433962266</v>
      </c>
      <c r="AU85" s="44"/>
    </row>
    <row r="86" spans="2:47" ht="12.75">
      <c r="B86" s="208" t="str">
        <f t="shared" si="53"/>
        <v>Exptal</v>
      </c>
      <c r="C86" s="185" t="s">
        <v>84</v>
      </c>
      <c r="D86" s="176">
        <v>10.043285995156898</v>
      </c>
      <c r="E86" s="176">
        <v>370.95553267695925</v>
      </c>
      <c r="F86" s="176">
        <v>398.04535447805426</v>
      </c>
      <c r="G86" s="176">
        <v>431.4545936129277</v>
      </c>
      <c r="H86" s="176">
        <v>394.18159410538607</v>
      </c>
      <c r="J86" s="3"/>
      <c r="K86" s="4">
        <f t="shared" si="35"/>
        <v>27.089821801095013</v>
      </c>
      <c r="L86" s="4">
        <f t="shared" si="35"/>
        <v>33.40923913487342</v>
      </c>
      <c r="M86" s="4">
        <f t="shared" si="36"/>
        <v>-3.863760372668196</v>
      </c>
      <c r="N86" s="4">
        <f t="shared" si="37"/>
        <v>-37.27299950754161</v>
      </c>
      <c r="O86" s="4"/>
      <c r="R86" s="208" t="str">
        <f t="shared" si="38"/>
        <v>Exptal</v>
      </c>
      <c r="S86" s="185" t="str">
        <f t="shared" si="39"/>
        <v>Sidney</v>
      </c>
      <c r="T86" s="184">
        <f t="shared" si="54"/>
        <v>10.043285995156898</v>
      </c>
      <c r="U86" s="4">
        <f t="shared" si="40"/>
        <v>591.6082197410302</v>
      </c>
      <c r="V86" s="4">
        <f t="shared" si="40"/>
        <v>598.6565954766959</v>
      </c>
      <c r="W86" s="4">
        <f t="shared" si="40"/>
        <v>606.7162275816002</v>
      </c>
      <c r="X86" s="4">
        <f t="shared" si="40"/>
        <v>597.6811701861367</v>
      </c>
      <c r="Y86" s="4"/>
      <c r="Z86" s="4"/>
      <c r="AA86" s="4">
        <f t="shared" si="41"/>
        <v>7.048375735665672</v>
      </c>
      <c r="AB86" s="4">
        <f t="shared" si="41"/>
        <v>8.059632104904267</v>
      </c>
      <c r="AC86" s="4">
        <f t="shared" si="42"/>
        <v>-0.9754252905592011</v>
      </c>
      <c r="AD86" s="4">
        <f t="shared" si="43"/>
        <v>-9.035057395463468</v>
      </c>
      <c r="AE86" s="4"/>
      <c r="AH86" s="208" t="str">
        <f t="shared" si="44"/>
        <v>Exptal</v>
      </c>
      <c r="AI86" s="185" t="str">
        <f t="shared" si="45"/>
        <v>Sidney</v>
      </c>
      <c r="AJ86" s="184">
        <f t="shared" si="55"/>
        <v>10.043285995156898</v>
      </c>
      <c r="AK86" s="44">
        <f t="shared" si="46"/>
        <v>5.660377358490567</v>
      </c>
      <c r="AL86" s="44">
        <f t="shared" si="47"/>
        <v>39.62264150943396</v>
      </c>
      <c r="AM86" s="44">
        <f t="shared" si="48"/>
        <v>89.937106918239</v>
      </c>
      <c r="AN86" s="44">
        <f t="shared" si="49"/>
        <v>35.84905660377358</v>
      </c>
      <c r="AO86" s="3"/>
      <c r="AP86" s="3"/>
      <c r="AQ86" s="4">
        <f t="shared" si="50"/>
        <v>33.9622641509434</v>
      </c>
      <c r="AR86" s="4">
        <f t="shared" si="50"/>
        <v>50.314465408805034</v>
      </c>
      <c r="AS86" s="4">
        <f t="shared" si="51"/>
        <v>-3.7735849056603783</v>
      </c>
      <c r="AT86" s="4">
        <f t="shared" si="52"/>
        <v>-54.08805031446541</v>
      </c>
      <c r="AU86" s="44"/>
    </row>
    <row r="87" spans="2:47" ht="12.75">
      <c r="B87" s="208" t="str">
        <f t="shared" si="53"/>
        <v>Exptal</v>
      </c>
      <c r="C87" s="185" t="s">
        <v>85</v>
      </c>
      <c r="D87" s="176">
        <v>8.01604586438109</v>
      </c>
      <c r="E87" s="176">
        <v>407.22499244860813</v>
      </c>
      <c r="F87" s="176">
        <v>412.77797223959817</v>
      </c>
      <c r="G87" s="176">
        <v>428.90918269344354</v>
      </c>
      <c r="H87" s="176">
        <v>414.76045401124065</v>
      </c>
      <c r="J87" s="3"/>
      <c r="K87" s="4">
        <f t="shared" si="35"/>
        <v>5.552979790990037</v>
      </c>
      <c r="L87" s="4">
        <f t="shared" si="35"/>
        <v>16.13121045384537</v>
      </c>
      <c r="M87" s="4">
        <f t="shared" si="36"/>
        <v>1.9824817716424832</v>
      </c>
      <c r="N87" s="4">
        <f t="shared" si="37"/>
        <v>-14.148728682202886</v>
      </c>
      <c r="O87" s="4"/>
      <c r="R87" s="208" t="str">
        <f t="shared" si="38"/>
        <v>Exptal</v>
      </c>
      <c r="S87" s="185" t="str">
        <f t="shared" si="39"/>
        <v>Terry</v>
      </c>
      <c r="T87" s="184">
        <f t="shared" si="54"/>
        <v>8.01604586438109</v>
      </c>
      <c r="U87" s="4">
        <f t="shared" si="40"/>
        <v>600.9365839700132</v>
      </c>
      <c r="V87" s="4">
        <f t="shared" si="40"/>
        <v>602.2909850920881</v>
      </c>
      <c r="W87" s="4">
        <f t="shared" si="40"/>
        <v>606.1245201164114</v>
      </c>
      <c r="X87" s="4">
        <f t="shared" si="40"/>
        <v>602.770113432551</v>
      </c>
      <c r="Y87" s="4"/>
      <c r="Z87" s="4"/>
      <c r="AA87" s="4">
        <f t="shared" si="41"/>
        <v>1.3544011220749326</v>
      </c>
      <c r="AB87" s="4">
        <f t="shared" si="41"/>
        <v>3.8335350243232824</v>
      </c>
      <c r="AC87" s="4">
        <f t="shared" si="42"/>
        <v>0.4791283404629212</v>
      </c>
      <c r="AD87" s="4">
        <f t="shared" si="43"/>
        <v>-3.3544066838603612</v>
      </c>
      <c r="AE87" s="4"/>
      <c r="AH87" s="208" t="str">
        <f t="shared" si="44"/>
        <v>Exptal</v>
      </c>
      <c r="AI87" s="185" t="str">
        <f t="shared" si="45"/>
        <v>Terry</v>
      </c>
      <c r="AJ87" s="184">
        <f t="shared" si="55"/>
        <v>8.01604586438109</v>
      </c>
      <c r="AK87" s="44">
        <f t="shared" si="46"/>
        <v>53.459119496855344</v>
      </c>
      <c r="AL87" s="44">
        <f t="shared" si="47"/>
        <v>62.893081761006286</v>
      </c>
      <c r="AM87" s="44">
        <f t="shared" si="48"/>
        <v>86.79245283018868</v>
      </c>
      <c r="AN87" s="44">
        <f t="shared" si="49"/>
        <v>66.66666666666666</v>
      </c>
      <c r="AO87" s="3"/>
      <c r="AP87" s="3"/>
      <c r="AQ87" s="4">
        <f t="shared" si="50"/>
        <v>9.433962264150942</v>
      </c>
      <c r="AR87" s="4">
        <f t="shared" si="50"/>
        <v>23.899371069182394</v>
      </c>
      <c r="AS87" s="4">
        <f t="shared" si="51"/>
        <v>3.773584905660371</v>
      </c>
      <c r="AT87" s="4">
        <f t="shared" si="52"/>
        <v>-20.125786163522022</v>
      </c>
      <c r="AU87" s="44"/>
    </row>
    <row r="88" spans="2:47" ht="12.75">
      <c r="B88" s="208" t="str">
        <f t="shared" si="53"/>
        <v>Exptal</v>
      </c>
      <c r="C88" s="185" t="s">
        <v>86</v>
      </c>
      <c r="D88" s="176">
        <v>5.927781167294425</v>
      </c>
      <c r="E88" s="176">
        <v>403.4689113418833</v>
      </c>
      <c r="F88" s="176">
        <v>392.3980076381282</v>
      </c>
      <c r="G88" s="176">
        <v>403.6320663549688</v>
      </c>
      <c r="H88" s="176">
        <v>411.2510499607735</v>
      </c>
      <c r="J88" s="3"/>
      <c r="K88" s="4">
        <f t="shared" si="35"/>
        <v>-11.070903703755107</v>
      </c>
      <c r="L88" s="4">
        <f t="shared" si="35"/>
        <v>11.234058716840593</v>
      </c>
      <c r="M88" s="4">
        <f t="shared" si="36"/>
        <v>18.853042322645308</v>
      </c>
      <c r="N88" s="4">
        <f t="shared" si="37"/>
        <v>7.618983605804715</v>
      </c>
      <c r="O88" s="4"/>
      <c r="R88" s="208" t="str">
        <f t="shared" si="38"/>
        <v>Exptal</v>
      </c>
      <c r="S88" s="185" t="str">
        <f t="shared" si="39"/>
        <v>Tristan</v>
      </c>
      <c r="T88" s="184">
        <f t="shared" si="54"/>
        <v>5.927781167294425</v>
      </c>
      <c r="U88" s="4">
        <f t="shared" si="40"/>
        <v>600.0099437261852</v>
      </c>
      <c r="V88" s="4">
        <f t="shared" si="40"/>
        <v>597.2276650303518</v>
      </c>
      <c r="W88" s="4">
        <f t="shared" si="40"/>
        <v>600.0503736153356</v>
      </c>
      <c r="X88" s="4">
        <f t="shared" si="40"/>
        <v>601.9203855172428</v>
      </c>
      <c r="Y88" s="4"/>
      <c r="Z88" s="4"/>
      <c r="AA88" s="4">
        <f t="shared" si="41"/>
        <v>-2.7822786958333836</v>
      </c>
      <c r="AB88" s="4">
        <f t="shared" si="41"/>
        <v>2.822708584983843</v>
      </c>
      <c r="AC88" s="4">
        <f t="shared" si="42"/>
        <v>4.692720486891062</v>
      </c>
      <c r="AD88" s="4">
        <f t="shared" si="43"/>
        <v>1.870011901907219</v>
      </c>
      <c r="AE88" s="4"/>
      <c r="AH88" s="208" t="str">
        <f t="shared" si="44"/>
        <v>Exptal</v>
      </c>
      <c r="AI88" s="185" t="str">
        <f t="shared" si="45"/>
        <v>Tristan</v>
      </c>
      <c r="AJ88" s="184">
        <f t="shared" si="55"/>
        <v>5.927781167294425</v>
      </c>
      <c r="AK88" s="44">
        <f t="shared" si="46"/>
        <v>48.42767295597484</v>
      </c>
      <c r="AL88" s="44">
        <f t="shared" si="47"/>
        <v>32.70440251572327</v>
      </c>
      <c r="AM88" s="44">
        <f t="shared" si="48"/>
        <v>49.056603773584904</v>
      </c>
      <c r="AN88" s="44">
        <f t="shared" si="49"/>
        <v>60.37735849056604</v>
      </c>
      <c r="AO88" s="3"/>
      <c r="AP88" s="3"/>
      <c r="AQ88" s="4">
        <f t="shared" si="50"/>
        <v>-15.723270440251575</v>
      </c>
      <c r="AR88" s="4">
        <f t="shared" si="50"/>
        <v>16.352201257861637</v>
      </c>
      <c r="AS88" s="4">
        <f t="shared" si="51"/>
        <v>27.672955974842772</v>
      </c>
      <c r="AT88" s="4">
        <f t="shared" si="52"/>
        <v>11.320754716981135</v>
      </c>
      <c r="AU88" s="44"/>
    </row>
    <row r="89" spans="2:47" ht="12.75">
      <c r="B89" s="208" t="str">
        <f t="shared" si="53"/>
        <v>Exptal</v>
      </c>
      <c r="C89" s="185" t="s">
        <v>87</v>
      </c>
      <c r="D89" s="176">
        <v>9.391655008821282</v>
      </c>
      <c r="E89" s="176">
        <v>376.56134784047595</v>
      </c>
      <c r="F89" s="176">
        <v>384.19994909462747</v>
      </c>
      <c r="G89" s="176">
        <v>402.2540206002138</v>
      </c>
      <c r="H89" s="176">
        <v>409.0455396238746</v>
      </c>
      <c r="J89" s="3"/>
      <c r="K89" s="4">
        <f t="shared" si="35"/>
        <v>7.638601254151524</v>
      </c>
      <c r="L89" s="4">
        <f t="shared" si="35"/>
        <v>18.054071505586307</v>
      </c>
      <c r="M89" s="4">
        <f t="shared" si="36"/>
        <v>24.845590529247147</v>
      </c>
      <c r="N89" s="4">
        <f t="shared" si="37"/>
        <v>6.79151902366084</v>
      </c>
      <c r="O89" s="4"/>
      <c r="R89" s="208" t="str">
        <f t="shared" si="38"/>
        <v>Exptal</v>
      </c>
      <c r="S89" s="185" t="str">
        <f t="shared" si="39"/>
        <v>Vic</v>
      </c>
      <c r="T89" s="184">
        <f t="shared" si="54"/>
        <v>9.391655008821282</v>
      </c>
      <c r="U89" s="4">
        <f t="shared" si="40"/>
        <v>593.108097643765</v>
      </c>
      <c r="V89" s="4">
        <f t="shared" si="40"/>
        <v>595.1163117837382</v>
      </c>
      <c r="W89" s="4">
        <f t="shared" si="40"/>
        <v>599.7083781099641</v>
      </c>
      <c r="X89" s="4">
        <f t="shared" si="40"/>
        <v>601.3826493668192</v>
      </c>
      <c r="Y89" s="4"/>
      <c r="Z89" s="4"/>
      <c r="AA89" s="4">
        <f t="shared" si="41"/>
        <v>2.0082141399732336</v>
      </c>
      <c r="AB89" s="4">
        <f t="shared" si="41"/>
        <v>4.592066326225904</v>
      </c>
      <c r="AC89" s="4">
        <f t="shared" si="42"/>
        <v>6.266337583081054</v>
      </c>
      <c r="AD89" s="4">
        <f t="shared" si="43"/>
        <v>1.6742712568551497</v>
      </c>
      <c r="AE89" s="4"/>
      <c r="AH89" s="208" t="str">
        <f t="shared" si="44"/>
        <v>Exptal</v>
      </c>
      <c r="AI89" s="185" t="str">
        <f t="shared" si="45"/>
        <v>Vic</v>
      </c>
      <c r="AJ89" s="184">
        <f t="shared" si="55"/>
        <v>9.391655008821282</v>
      </c>
      <c r="AK89" s="44">
        <f t="shared" si="46"/>
        <v>11.320754716981133</v>
      </c>
      <c r="AL89" s="44">
        <f t="shared" si="47"/>
        <v>19.49685534591195</v>
      </c>
      <c r="AM89" s="44">
        <f t="shared" si="48"/>
        <v>44.65408805031446</v>
      </c>
      <c r="AN89" s="44">
        <f t="shared" si="49"/>
        <v>55.9748427672956</v>
      </c>
      <c r="AO89" s="3"/>
      <c r="AP89" s="3"/>
      <c r="AQ89" s="4">
        <f t="shared" si="50"/>
        <v>8.176100628930817</v>
      </c>
      <c r="AR89" s="4">
        <f t="shared" si="50"/>
        <v>25.157232704402514</v>
      </c>
      <c r="AS89" s="4">
        <f t="shared" si="51"/>
        <v>36.477987421383645</v>
      </c>
      <c r="AT89" s="4">
        <f t="shared" si="52"/>
        <v>11.320754716981135</v>
      </c>
      <c r="AU89" s="44"/>
    </row>
    <row r="90" spans="2:47" ht="12.75">
      <c r="B90" s="208" t="str">
        <f t="shared" si="53"/>
        <v>Exptal</v>
      </c>
      <c r="C90" s="185" t="s">
        <v>108</v>
      </c>
      <c r="D90" s="176">
        <v>11.545166159440665</v>
      </c>
      <c r="E90" s="176">
        <v>424.43528957582305</v>
      </c>
      <c r="F90" s="176">
        <v>416.843020275398</v>
      </c>
      <c r="G90" s="176">
        <v>420.1719769154171</v>
      </c>
      <c r="H90" s="176">
        <v>436.2804683839166</v>
      </c>
      <c r="J90" s="3"/>
      <c r="K90" s="4">
        <f t="shared" si="35"/>
        <v>-7.592269300425073</v>
      </c>
      <c r="L90" s="4">
        <f t="shared" si="35"/>
        <v>3.3289566400191006</v>
      </c>
      <c r="M90" s="4">
        <f t="shared" si="36"/>
        <v>19.43744810851865</v>
      </c>
      <c r="N90" s="4">
        <f t="shared" si="37"/>
        <v>16.10849146849955</v>
      </c>
      <c r="O90" s="4"/>
      <c r="R90" s="208" t="str">
        <f t="shared" si="38"/>
        <v>Exptal</v>
      </c>
      <c r="S90" s="185" t="str">
        <f t="shared" si="39"/>
        <v>Wil</v>
      </c>
      <c r="T90" s="184">
        <f t="shared" si="54"/>
        <v>11.545166159440665</v>
      </c>
      <c r="U90" s="4">
        <f t="shared" si="40"/>
        <v>605.0759554969588</v>
      </c>
      <c r="V90" s="4">
        <f t="shared" si="40"/>
        <v>603.2709700744743</v>
      </c>
      <c r="W90" s="4">
        <f t="shared" si="40"/>
        <v>604.0664096314155</v>
      </c>
      <c r="X90" s="4">
        <f t="shared" si="40"/>
        <v>607.8285312645545</v>
      </c>
      <c r="Y90" s="4"/>
      <c r="Z90" s="4"/>
      <c r="AA90" s="4">
        <f t="shared" si="41"/>
        <v>-1.8049854224844921</v>
      </c>
      <c r="AB90" s="4">
        <f t="shared" si="41"/>
        <v>0.795439556941119</v>
      </c>
      <c r="AC90" s="4">
        <f t="shared" si="42"/>
        <v>4.5575611900801505</v>
      </c>
      <c r="AD90" s="4">
        <f t="shared" si="43"/>
        <v>3.7621216331390315</v>
      </c>
      <c r="AE90" s="4"/>
      <c r="AH90" s="208" t="str">
        <f t="shared" si="44"/>
        <v>Exptal</v>
      </c>
      <c r="AI90" s="185" t="str">
        <f t="shared" si="45"/>
        <v>Wil</v>
      </c>
      <c r="AJ90" s="184">
        <f t="shared" si="55"/>
        <v>11.545166159440665</v>
      </c>
      <c r="AK90" s="44">
        <f t="shared" si="46"/>
        <v>81.13207547169812</v>
      </c>
      <c r="AL90" s="44">
        <f t="shared" si="47"/>
        <v>69.18238993710692</v>
      </c>
      <c r="AM90" s="44">
        <f t="shared" si="48"/>
        <v>74.84276729559748</v>
      </c>
      <c r="AN90" s="44">
        <f t="shared" si="49"/>
        <v>93.08176100628931</v>
      </c>
      <c r="AO90" s="3"/>
      <c r="AP90" s="3"/>
      <c r="AQ90" s="4">
        <f t="shared" si="50"/>
        <v>-11.949685534591197</v>
      </c>
      <c r="AR90" s="4">
        <f t="shared" si="50"/>
        <v>5.660377358490564</v>
      </c>
      <c r="AS90" s="4">
        <f t="shared" si="51"/>
        <v>23.899371069182394</v>
      </c>
      <c r="AT90" s="4">
        <f t="shared" si="52"/>
        <v>18.23899371069183</v>
      </c>
      <c r="AU90" s="44"/>
    </row>
    <row r="91" spans="2:47" ht="12.75">
      <c r="B91" s="208" t="str">
        <f t="shared" si="53"/>
        <v>Exptal</v>
      </c>
      <c r="C91" s="185" t="s">
        <v>88</v>
      </c>
      <c r="D91" s="176">
        <v>13.182162714473208</v>
      </c>
      <c r="E91" s="176">
        <v>409.4142784381991</v>
      </c>
      <c r="F91" s="176">
        <v>435.52280843120786</v>
      </c>
      <c r="G91" s="176">
        <v>446.6727576371778</v>
      </c>
      <c r="H91" s="176">
        <v>415.0511274878347</v>
      </c>
      <c r="J91" s="3"/>
      <c r="K91" s="4">
        <f t="shared" si="35"/>
        <v>26.108529993008744</v>
      </c>
      <c r="L91" s="4">
        <f t="shared" si="35"/>
        <v>11.14994920596996</v>
      </c>
      <c r="M91" s="4">
        <f t="shared" si="36"/>
        <v>-20.471680943373144</v>
      </c>
      <c r="N91" s="4">
        <f t="shared" si="37"/>
        <v>-31.621630149343105</v>
      </c>
      <c r="O91" s="4"/>
      <c r="R91" s="208" t="str">
        <f t="shared" si="38"/>
        <v>Exptal</v>
      </c>
      <c r="S91" s="185" t="str">
        <f t="shared" si="39"/>
        <v>Wynn</v>
      </c>
      <c r="T91" s="184">
        <f t="shared" si="54"/>
        <v>13.182162714473208</v>
      </c>
      <c r="U91" s="4">
        <f t="shared" si="40"/>
        <v>601.4727549116817</v>
      </c>
      <c r="V91" s="4">
        <f t="shared" si="40"/>
        <v>607.6547167897508</v>
      </c>
      <c r="W91" s="4">
        <f t="shared" si="40"/>
        <v>610.1826240685016</v>
      </c>
      <c r="X91" s="4">
        <f t="shared" si="40"/>
        <v>602.840171140822</v>
      </c>
      <c r="Y91" s="4"/>
      <c r="Z91" s="4"/>
      <c r="AA91" s="4">
        <f t="shared" si="41"/>
        <v>6.181961878069046</v>
      </c>
      <c r="AB91" s="4">
        <f t="shared" si="41"/>
        <v>2.527907278750831</v>
      </c>
      <c r="AC91" s="4">
        <f t="shared" si="42"/>
        <v>-4.814545648928743</v>
      </c>
      <c r="AD91" s="4">
        <f t="shared" si="43"/>
        <v>-7.342452927679574</v>
      </c>
      <c r="AE91" s="4"/>
      <c r="AH91" s="208" t="str">
        <f t="shared" si="44"/>
        <v>Exptal</v>
      </c>
      <c r="AI91" s="185" t="str">
        <f t="shared" si="45"/>
        <v>Wynn</v>
      </c>
      <c r="AJ91" s="184">
        <f t="shared" si="55"/>
        <v>13.182162714473208</v>
      </c>
      <c r="AK91" s="44">
        <f>IF(ISNUMBER(E91),(RANK(E91,allraw,1)-1)/($E$107-1)*100,"miss")</f>
        <v>56.60377358490566</v>
      </c>
      <c r="AL91" s="44">
        <f t="shared" si="47"/>
        <v>92.45283018867924</v>
      </c>
      <c r="AM91" s="44">
        <f t="shared" si="48"/>
        <v>96.22641509433963</v>
      </c>
      <c r="AN91" s="44">
        <f t="shared" si="49"/>
        <v>67.29559748427673</v>
      </c>
      <c r="AO91" s="3"/>
      <c r="AP91" s="3"/>
      <c r="AQ91" s="4">
        <f t="shared" si="50"/>
        <v>35.84905660377358</v>
      </c>
      <c r="AR91" s="4">
        <f t="shared" si="50"/>
        <v>3.7735849056603854</v>
      </c>
      <c r="AS91" s="4">
        <f t="shared" si="51"/>
        <v>-25.157232704402517</v>
      </c>
      <c r="AT91" s="4">
        <f t="shared" si="52"/>
        <v>-28.930817610062903</v>
      </c>
      <c r="AU91" s="44"/>
    </row>
    <row r="92" spans="2:47" ht="12.75">
      <c r="B92" s="208" t="str">
        <f t="shared" si="53"/>
        <v>Exptal</v>
      </c>
      <c r="C92" s="185" t="s">
        <v>89</v>
      </c>
      <c r="D92" s="176">
        <v>10.074882480221746</v>
      </c>
      <c r="E92" s="176">
        <v>388.3558304629797</v>
      </c>
      <c r="F92" s="176">
        <v>382.835309024753</v>
      </c>
      <c r="G92" s="176">
        <v>398.772881389767</v>
      </c>
      <c r="H92" s="176">
        <v>403.4106297287051</v>
      </c>
      <c r="J92" s="3"/>
      <c r="K92" s="4">
        <f t="shared" si="35"/>
        <v>-5.520521438226751</v>
      </c>
      <c r="L92" s="4">
        <f t="shared" si="35"/>
        <v>15.937572365014034</v>
      </c>
      <c r="M92" s="4">
        <f t="shared" si="36"/>
        <v>20.575320703952116</v>
      </c>
      <c r="N92" s="4">
        <f t="shared" si="37"/>
        <v>4.637748338938081</v>
      </c>
      <c r="O92" s="4"/>
      <c r="R92" s="208" t="str">
        <f t="shared" si="38"/>
        <v>Exptal</v>
      </c>
      <c r="S92" s="185" t="str">
        <f t="shared" si="39"/>
        <v>Zane</v>
      </c>
      <c r="T92" s="184">
        <f t="shared" si="54"/>
        <v>10.074882480221746</v>
      </c>
      <c r="U92" s="4">
        <f t="shared" si="40"/>
        <v>596.1922008176363</v>
      </c>
      <c r="V92" s="4">
        <f t="shared" si="40"/>
        <v>594.7604894156702</v>
      </c>
      <c r="W92" s="4">
        <f t="shared" si="40"/>
        <v>598.8392035248379</v>
      </c>
      <c r="X92" s="4">
        <f t="shared" si="40"/>
        <v>599.9954975516787</v>
      </c>
      <c r="Y92" s="4"/>
      <c r="Z92" s="4"/>
      <c r="AA92" s="4">
        <f t="shared" si="41"/>
        <v>-1.4317114019660266</v>
      </c>
      <c r="AB92" s="4">
        <f t="shared" si="41"/>
        <v>4.078714109167663</v>
      </c>
      <c r="AC92" s="4">
        <f t="shared" si="42"/>
        <v>5.235008136008446</v>
      </c>
      <c r="AD92" s="4">
        <f t="shared" si="43"/>
        <v>1.1562940268407829</v>
      </c>
      <c r="AE92" s="4"/>
      <c r="AH92" s="208" t="str">
        <f t="shared" si="44"/>
        <v>Exptal</v>
      </c>
      <c r="AI92" s="185" t="str">
        <f t="shared" si="45"/>
        <v>Zane</v>
      </c>
      <c r="AJ92" s="184">
        <f t="shared" si="55"/>
        <v>10.074882480221746</v>
      </c>
      <c r="AK92" s="44">
        <f>IF(ISNUMBER(E92),(RANK(E92,allraw,1)-1)/($E$107-1)*100,"miss")</f>
        <v>26.41509433962264</v>
      </c>
      <c r="AL92" s="44">
        <f t="shared" si="47"/>
        <v>17.61006289308176</v>
      </c>
      <c r="AM92" s="44">
        <f t="shared" si="48"/>
        <v>40.88050314465409</v>
      </c>
      <c r="AN92" s="44">
        <f t="shared" si="49"/>
        <v>47.79874213836478</v>
      </c>
      <c r="AO92" s="3"/>
      <c r="AP92" s="3"/>
      <c r="AQ92" s="4">
        <f t="shared" si="50"/>
        <v>-8.80503144654088</v>
      </c>
      <c r="AR92" s="4">
        <f t="shared" si="50"/>
        <v>23.27044025157233</v>
      </c>
      <c r="AS92" s="4">
        <f t="shared" si="51"/>
        <v>30.18867924528302</v>
      </c>
      <c r="AT92" s="4">
        <f t="shared" si="52"/>
        <v>6.918238993710688</v>
      </c>
      <c r="AU92" s="44"/>
    </row>
    <row r="93" spans="2:47" ht="12.75">
      <c r="B93" s="46"/>
      <c r="C93" s="6" t="s">
        <v>2</v>
      </c>
      <c r="D93" s="75">
        <f>AVERAGE(D73:D92)</f>
        <v>8.910801852323038</v>
      </c>
      <c r="E93" s="75">
        <f>AVERAGE(E73:E92)</f>
        <v>389.45913670632297</v>
      </c>
      <c r="F93" s="75">
        <f>AVERAGE(F73:F92)</f>
        <v>397.8758021121921</v>
      </c>
      <c r="G93" s="75">
        <f>AVERAGE(G73:G92)</f>
        <v>410.5074598147251</v>
      </c>
      <c r="H93" s="75">
        <f>AVERAGE(H73:H92)</f>
        <v>404.4174147244427</v>
      </c>
      <c r="I93" s="282"/>
      <c r="J93" s="283" t="s">
        <v>115</v>
      </c>
      <c r="K93" s="284">
        <f>IF(ISBLANK($K$35),AVERAGE(K73:K92),IF(ISBLANK($K$38),FORECAST($K$35,K73:K92,$D73:$D92),SLOPE(K73:K92,$D73:$D92)*$K$38))</f>
        <v>8.416665405869267</v>
      </c>
      <c r="L93" s="284">
        <f>IF(ISBLANK($K$35),AVERAGE(L73:L92),IF(ISBLANK($K$38),FORECAST($K$35,L73:L92,$D73:$D92),SLOPE(L73:L92,$D73:$D92)*$K$38))</f>
        <v>12.631657702532873</v>
      </c>
      <c r="M93" s="284">
        <f>IF(ISBLANK($K$35),AVERAGE(M73:M92),IF(ISBLANK($K$38),FORECAST($K$35,M73:M92,$D73:$D92),SLOPE(M73:M92,$D73:$D92)*$K$38))</f>
        <v>6.541612612250498</v>
      </c>
      <c r="N93" s="284">
        <f>IF(ISBLANK($K$35),AVERAGE(N73:N92),IF(ISBLANK($K$38),FORECAST($K$35,N73:N92,$D73:$D92),SLOPE(N73:N92,$D73:$D92)*$K$38))</f>
        <v>-6.090045090282376</v>
      </c>
      <c r="O93" s="285" t="e">
        <f>IF(ISBLANK($K$35),AVERAGE(O73:O92),IF(ISBLANK($K$38),FORECAST($K$35,O73:O92,$D73:$D92),SLOPE(O73:O92,$D73:$D92)*$K$38))</f>
        <v>#DIV/0!</v>
      </c>
      <c r="S93" s="6" t="s">
        <v>2</v>
      </c>
      <c r="T93" s="75">
        <f>AVERAGE(T73:T92)</f>
        <v>8.910801852323038</v>
      </c>
      <c r="U93" s="7">
        <f>AVERAGE(U73:U92)</f>
        <v>596.3377480973959</v>
      </c>
      <c r="V93" s="7">
        <f>AVERAGE(V73:V92)</f>
        <v>598.457767776382</v>
      </c>
      <c r="W93" s="7">
        <f>AVERAGE(W73:W92)</f>
        <v>601.5320611911428</v>
      </c>
      <c r="X93" s="7">
        <f>AVERAGE(X73:X92)</f>
        <v>600.0896338457021</v>
      </c>
      <c r="Y93" s="7"/>
      <c r="Z93" s="6" t="s">
        <v>115</v>
      </c>
      <c r="AA93" s="276">
        <f>IF(ISBLANK($AA$35),AVERAGE(AA73:AA92),IF(ISBLANK($AA$38),FORECAST($AA$35,AA73:AA92,$T73:$T92),SLOPE(AA73:AA92,$T73:$T92)*$AA$38))</f>
        <v>2.1200196789860173</v>
      </c>
      <c r="AB93" s="276">
        <f>IF(ISBLANK($AA$35),AVERAGE(AB73:AB92),IF(ISBLANK($AA$38),FORECAST($AA$35,AB73:AB92,$T73:$T92),SLOPE(AB73:AB92,$T73:$T92)*$AA$38))</f>
        <v>3.0742934147609047</v>
      </c>
      <c r="AC93" s="276">
        <f>IF(ISBLANK($AA$35),AVERAGE(AC73:AC92),IF(ISBLANK($AA$38),FORECAST($AA$35,AC73:AC92,$T73:$T92),SLOPE(AC73:AC92,$T73:$T92)*$AA$38))</f>
        <v>1.631866069320131</v>
      </c>
      <c r="AD93" s="276">
        <f>IF(ISBLANK($AA$35),AVERAGE(AD73:AD92),IF(ISBLANK($AA$38),FORECAST($AA$35,AD73:AD92,$T73:$T92),SLOPE(AD73:AD92,$T73:$T92)*$AA$38))</f>
        <v>-1.442427345440774</v>
      </c>
      <c r="AE93" s="276" t="e">
        <f>IF(ISBLANK($AA$35),AVERAGE(AE73:AE92),IF(ISBLANK($AA$38),FORECAST($AA$35,AE73:AE92,$T73:$T92),SLOPE(AE73:AE92,$T73:$T92)*$AA$38))</f>
        <v>#DIV/0!</v>
      </c>
      <c r="AI93" s="6" t="s">
        <v>2</v>
      </c>
      <c r="AJ93" s="75">
        <f>AVERAGE(AJ73:AJ92)</f>
        <v>8.910801852323038</v>
      </c>
      <c r="AK93" s="7">
        <f>AVERAGE(AK73:AK92)</f>
        <v>31.792452830188676</v>
      </c>
      <c r="AL93" s="7">
        <f>AVERAGE(AL73:AL92)</f>
        <v>42.9245283018868</v>
      </c>
      <c r="AM93" s="7">
        <f>AVERAGE(AM73:AM92)</f>
        <v>57.79874213836479</v>
      </c>
      <c r="AN93" s="7">
        <f>AVERAGE(AN73:AN92)</f>
        <v>49.49685534591195</v>
      </c>
      <c r="AO93" s="7"/>
      <c r="AP93" s="6" t="s">
        <v>115</v>
      </c>
      <c r="AQ93" s="276">
        <f>IF(ISBLANK($AQ$35),AVERAGE(AQ73:AQ92),IF(ISBLANK($AQ$38),FORECAST($AQ$35,AQ73:AQ92,$AJ73:$AJ92),SLOPE(AQ73:AQ92,$AJ73:$AJ92)*$AQ$38))</f>
        <v>11.132075471698112</v>
      </c>
      <c r="AR93" s="276">
        <f>IF(ISBLANK($AQ$35),AVERAGE(AR73:AR92),IF(ISBLANK($AQ$38),FORECAST($AQ$35,AR73:AR92,$AJ73:$AJ92),SLOPE(AR73:AR92,$AJ73:$AJ92)*$AQ$38))</f>
        <v>14.874213836477988</v>
      </c>
      <c r="AS93" s="276">
        <f>IF(ISBLANK($AQ$35),AVERAGE(AS73:AS92),IF(ISBLANK($AQ$38),FORECAST($AQ$35,AS73:AS92,$AJ73:$AJ92),SLOPE(AS73:AS92,$AJ73:$AJ92)*$AQ$38))</f>
        <v>6.572327044025156</v>
      </c>
      <c r="AT93" s="276">
        <f>IF(ISBLANK($AQ$35),AVERAGE(AT73:AT92),IF(ISBLANK($AQ$38),FORECAST($AQ$35,AT73:AT92,$AJ73:$AJ92),SLOPE(AT73:AT92,$AJ73:$AJ92)*$AQ$38))</f>
        <v>-8.30188679245283</v>
      </c>
      <c r="AU93" s="276" t="e">
        <f>IF(ISBLANK($AQ$35),AVERAGE(AU73:AU92),IF(ISBLANK($AQ$38),FORECAST($AQ$35,AU73:AU92,$AJ73:$AJ92),SLOPE(AU73:AU92,$AJ73:$AJ92)*$AQ$38))</f>
        <v>#DIV/0!</v>
      </c>
    </row>
    <row r="94" spans="2:47" ht="12.75">
      <c r="B94" s="46"/>
      <c r="C94" s="6" t="s">
        <v>3</v>
      </c>
      <c r="D94" s="75">
        <f>STDEV(D73:D92)</f>
        <v>2.9846732460089527</v>
      </c>
      <c r="E94" s="75">
        <f>STDEV(E73:E92)</f>
        <v>20.721381402404134</v>
      </c>
      <c r="F94" s="75">
        <f>STDEV(F73:F92)</f>
        <v>22.441585417311746</v>
      </c>
      <c r="G94" s="75">
        <f>STDEV(G73:G92)</f>
        <v>26.869218273256372</v>
      </c>
      <c r="H94" s="75">
        <f>STDEV(H73:H92)</f>
        <v>23.215835517433177</v>
      </c>
      <c r="I94" s="286"/>
      <c r="J94" s="287" t="s">
        <v>116</v>
      </c>
      <c r="K94" s="288">
        <f>IF(ISBLANK($K$35),STDEV(K73:K92),STEYX(K73:K92,$D73:$D92))</f>
        <v>13.99616688030272</v>
      </c>
      <c r="L94" s="288">
        <f>IF(ISBLANK($K$35),STDEV(L73:L92),STEYX(L73:L92,$D73:$D92))</f>
        <v>15.19730217957931</v>
      </c>
      <c r="M94" s="288">
        <f>IF(ISBLANK($K$35),STDEV(M73:M92),STEYX(M73:M92,$D73:$D92))</f>
        <v>18.100359072951868</v>
      </c>
      <c r="N94" s="288">
        <f>IF(ISBLANK($K$35),STDEV(N73:N92),STEYX(N73:N92,$D73:$D92))</f>
        <v>17.215956403224425</v>
      </c>
      <c r="O94" s="289" t="e">
        <f>IF(ISBLANK($K$35),STDEV(O73:O92),STEYX(O73:O92,$D73:$D92))</f>
        <v>#DIV/0!</v>
      </c>
      <c r="S94" s="6" t="s">
        <v>3</v>
      </c>
      <c r="T94" s="75">
        <f>STDEV(T73:T92)</f>
        <v>2.9846732460089527</v>
      </c>
      <c r="U94" s="7">
        <f>STDEV(U73:U92)</f>
        <v>5.432003634357315</v>
      </c>
      <c r="V94" s="7">
        <f>STDEV(V73:V92)</f>
        <v>5.786172965217829</v>
      </c>
      <c r="W94" s="7">
        <f>STDEV(W73:W92)</f>
        <v>6.643196133753532</v>
      </c>
      <c r="X94" s="7">
        <f>STDEV(X73:X92)</f>
        <v>5.703227843102551</v>
      </c>
      <c r="Y94" s="7"/>
      <c r="Z94" s="6" t="s">
        <v>116</v>
      </c>
      <c r="AA94" s="276">
        <f>IF(ISBLANK($AA$35),STDEV(AA73:AA92),STEYX(AA73:AA92,$T73:$T92))</f>
        <v>3.5357717542611433</v>
      </c>
      <c r="AB94" s="276">
        <f>IF(ISBLANK($AA$35),STDEV(AB73:AB92),STEYX(AB73:AB92,$T73:$T92))</f>
        <v>3.6854607868583225</v>
      </c>
      <c r="AC94" s="276">
        <f>IF(ISBLANK($AA$35),STDEV(AC73:AC92),STEYX(AC73:AC92,$T73:$T92))</f>
        <v>4.531738394415848</v>
      </c>
      <c r="AD94" s="276">
        <f>IF(ISBLANK($AA$35),STDEV(AD73:AD92),STEYX(AD73:AD92,$T73:$T92))</f>
        <v>4.252218351106714</v>
      </c>
      <c r="AE94" s="276" t="e">
        <f>IF(ISBLANK($AA$35),STDEV(AE73:AE92),STEYX(AE73:AE92,$T73:$T92))</f>
        <v>#DIV/0!</v>
      </c>
      <c r="AI94" s="6" t="s">
        <v>3</v>
      </c>
      <c r="AJ94" s="75">
        <f>STDEV(AJ73:AJ92)</f>
        <v>2.9846732460089527</v>
      </c>
      <c r="AK94" s="7">
        <f>STDEV(AK73:AK92)</f>
        <v>23.561148798508174</v>
      </c>
      <c r="AL94" s="7">
        <f>STDEV(AL73:AL92)</f>
        <v>26.223573122451217</v>
      </c>
      <c r="AM94" s="7">
        <f>STDEV(AM73:AM92)</f>
        <v>29.279805786791727</v>
      </c>
      <c r="AN94" s="7">
        <f>STDEV(AN73:AN92)</f>
        <v>29.319738077684107</v>
      </c>
      <c r="AO94" s="7"/>
      <c r="AP94" s="6" t="s">
        <v>116</v>
      </c>
      <c r="AQ94" s="276">
        <f>IF(ISBLANK($AQ$35),STDEV(AQ73:AQ92),STEYX(AQ73:AQ92,$AJ73:$AJ92))</f>
        <v>19.754203799209417</v>
      </c>
      <c r="AR94" s="276">
        <f>IF(ISBLANK($AQ$35),STDEV(AR73:AR92),STEYX(AR73:AR92,$AJ73:$AJ92))</f>
        <v>20.60852992894785</v>
      </c>
      <c r="AS94" s="276">
        <f>IF(ISBLANK($AQ$35),STDEV(AS73:AS92),STEYX(AS73:AS92,$AJ73:$AJ92))</f>
        <v>22.972383755155406</v>
      </c>
      <c r="AT94" s="276">
        <f>IF(ISBLANK($AQ$35),STDEV(AT73:AT92),STEYX(AT73:AT92,$AJ73:$AJ92))</f>
        <v>22.414730999008967</v>
      </c>
      <c r="AU94" s="276" t="e">
        <f>IF(ISBLANK($AQ$35),STDEV(AU73:AU92),STEYX(AU73:AU92,$AJ73:$AJ92))</f>
        <v>#DIV/0!</v>
      </c>
    </row>
    <row r="95" spans="2:47" ht="12.75">
      <c r="B95" s="46"/>
      <c r="C95" s="6" t="s">
        <v>70</v>
      </c>
      <c r="D95" s="7">
        <f>D94/SQRT(D97)</f>
        <v>0.6673932268700971</v>
      </c>
      <c r="E95" s="7">
        <f>E94/SQRT(E97)</f>
        <v>4.633441740347557</v>
      </c>
      <c r="F95" s="7">
        <f>F94/SQRT(F97)</f>
        <v>5.018091051597705</v>
      </c>
      <c r="G95" s="5"/>
      <c r="H95" s="5"/>
      <c r="I95" s="5"/>
      <c r="J95" s="6" t="s">
        <v>117</v>
      </c>
      <c r="K95" s="5">
        <f>IF(ISBLANK($K$35),K94/SQRT(COUNT(K73:K92)),IF(ISBLANK($K$38),K94*SQRT(1/COUNT(K73:K92)+1/(COUNT(K73:K92)-1)*($K$35-$D93)^2/$D94^2),$K$38*STEYX(K73:K92,$D73:$D92)/(SQRT(COUNT(K73:K92)-1))/$D94))</f>
        <v>3.1296380568788043</v>
      </c>
      <c r="L95" s="5">
        <f>IF(ISBLANK($K$35),L94/SQRT(COUNT(L73:L92)),IF(ISBLANK($K$38),L94*SQRT(1/COUNT(L73:L92)+1/(COUNT(L73:L92)-1)*($K$35-$D93)^2/$D94^2),$K$38*STEYX(L73:L92,$D73:$D92)/(SQRT(COUNT(L73:L92)-1))/$D94))</f>
        <v>3.398220074814505</v>
      </c>
      <c r="M95" s="5">
        <f>IF(ISBLANK($K$35),M94/SQRT(COUNT(M73:M92)),IF(ISBLANK($K$38),M94*SQRT(1/COUNT(M73:M92)+1/(COUNT(M73:M92)-1)*($K$35-$D93)^2/$D94^2),$K$38*STEYX(M73:M92,$D73:$D92)/(SQRT(COUNT(M73:M92)-1))/$D94))</f>
        <v>4.047363330427545</v>
      </c>
      <c r="N95" s="5">
        <f>IF(ISBLANK($K$35),N94/SQRT(COUNT(N73:N92)),IF(ISBLANK($K$38),N94*SQRT(1/COUNT(N73:N92)+1/(COUNT(N73:N92)-1)*($K$35-$D93)^2/$D94^2),$K$38*STEYX(N73:N92,$D73:$D92)/(SQRT(COUNT(N73:N92)-1))/$D94))</f>
        <v>3.849604881528259</v>
      </c>
      <c r="O95" s="5" t="e">
        <f>IF(ISBLANK($K$35),O94/SQRT(COUNT(O73:O92)),IF(ISBLANK($K$38),O94*SQRT(1/COUNT(O73:O92)+1/(COUNT(O73:O92)-1)*($K$35-$D93)^2/$D94^2),$K$38*STEYX(O73:O92,$D73:$D92)/(SQRT(COUNT(O73:O92)-1))/$D94))</f>
        <v>#DIV/0!</v>
      </c>
      <c r="S95" s="6" t="s">
        <v>70</v>
      </c>
      <c r="T95" s="7">
        <f>T94/SQRT(COUNT(T73:T92))</f>
        <v>0.6673932268700971</v>
      </c>
      <c r="U95" s="7">
        <f>U94/SQRT(COUNT(U73:U92))</f>
        <v>1.2146329380448868</v>
      </c>
      <c r="V95" s="7">
        <f>V94/SQRT(COUNT(V73:V92))</f>
        <v>1.2938276079798592</v>
      </c>
      <c r="W95" s="7"/>
      <c r="X95" s="7"/>
      <c r="Y95" s="7"/>
      <c r="Z95" s="6" t="s">
        <v>117</v>
      </c>
      <c r="AA95" s="5">
        <f>IF(ISBLANK($AA$35),AA94/SQRT(COUNT(AA73:AA92)),IF(ISBLANK($AA$38),AA94*SQRT(1/COUNT(AA73:AA92)+1/(COUNT(AA73:AA92)-1)*($AA$35-$T93)^2/$T94^2),$AA$38*STEYX(AA73:AA92,$T73:$T92)/(SQRT(COUNT(AA73:AA92)-1))/$T94))</f>
        <v>0.7906225995451598</v>
      </c>
      <c r="AB95" s="5">
        <f>IF(ISBLANK($AA$35),AB94/SQRT(COUNT(AB73:AB92)),IF(ISBLANK($AA$38),AB94*SQRT(1/COUNT(AB73:AB92)+1/(COUNT(AB73:AB92)-1)*($AA$35-$T93)^2/$T94^2),$AA$38*STEYX(AB73:AB92,$T73:$T92)/(SQRT(COUNT(AB73:AB92)-1))/$T94))</f>
        <v>0.8240940847825072</v>
      </c>
      <c r="AC95" s="5">
        <f>IF(ISBLANK($AA$35),AC94/SQRT(COUNT(AC73:AC92)),IF(ISBLANK($AA$38),AC94*SQRT(1/COUNT(AC73:AC92)+1/(COUNT(AC73:AC92)-1)*($AA$35-$T93)^2/$T94^2),$AA$38*STEYX(AC73:AC92,$T73:$T92)/(SQRT(COUNT(AC73:AC92)-1))/$T94))</f>
        <v>1.013327510615959</v>
      </c>
      <c r="AD95" s="5">
        <f>IF(ISBLANK($AA$35),AD94/SQRT(COUNT(AD73:AD92)),IF(ISBLANK($AA$38),AD94*SQRT(1/COUNT(AD73:AD92)+1/(COUNT(AD73:AD92)-1)*($AA$35-$T93)^2/$T94^2),$AA$38*STEYX(AD73:AD92,$T73:$T92)/(SQRT(COUNT(AD73:AD92)-1))/$T94))</f>
        <v>0.9508249288246681</v>
      </c>
      <c r="AE95" s="5" t="e">
        <f>IF(ISBLANK($AA$35),AE94/SQRT(COUNT(AE73:AE92)),IF(ISBLANK($AA$38),AE94*SQRT(1/COUNT(AE73:AE92)+1/(COUNT(AE73:AE92)-1)*($AA$35-$T93)^2/$T94^2),$AA$38*STEYX(AE73:AE92,$T73:$T92)/(SQRT(COUNT(AE73:AE92)-1))/$T94))</f>
        <v>#DIV/0!</v>
      </c>
      <c r="AI95" s="6" t="s">
        <v>70</v>
      </c>
      <c r="AJ95" s="7">
        <f>AJ94/SQRT(COUNT(AJ73:AJ92))</f>
        <v>0.6673932268700971</v>
      </c>
      <c r="AK95" s="7">
        <f>AK94/SQRT(COUNT(AK73:AK92))</f>
        <v>5.268433034145177</v>
      </c>
      <c r="AL95" s="7">
        <f>AL94/SQRT(COUNT(AL73:AL92))</f>
        <v>5.863769211473733</v>
      </c>
      <c r="AM95" s="7"/>
      <c r="AN95" s="7"/>
      <c r="AO95" s="7"/>
      <c r="AP95" s="6" t="s">
        <v>117</v>
      </c>
      <c r="AQ95" s="5">
        <f>IF(ISBLANK($AQ$35),AQ94/SQRT(COUNT(AQ73:AQ92)),IF(ISBLANK($AQ$38),AQ94*SQRT(1/COUNT(AQ73:AQ92)+1/(COUNT(AQ73:AQ92)-1)*($AQ$35-$AJ93)^2/$AJ94^2),$AQ$38*STEYX(AQ73:AQ92,$AJ73:$AJ92)/(SQRT(COUNT(AQ73:AQ92)-1))/$AJ94))</f>
        <v>4.4171742536416865</v>
      </c>
      <c r="AR95" s="5">
        <f>IF(ISBLANK($AQ$35),AR94/SQRT(COUNT(AR73:AR92)),IF(ISBLANK($AQ$38),AR94*SQRT(1/COUNT(AR73:AR92)+1/(COUNT(AR73:AR92)-1)*($AQ$35-$AJ93)^2/$AJ94^2),$AQ$38*STEYX(AR73:AR92,$AJ73:$AJ92)/(SQRT(COUNT(AR73:AR92)-1))/$AJ94))</f>
        <v>4.60820738374663</v>
      </c>
      <c r="AS95" s="5">
        <f>IF(ISBLANK($AQ$35),AS94/SQRT(COUNT(AS73:AS92)),IF(ISBLANK($AQ$38),AS94*SQRT(1/COUNT(AS73:AS92)+1/(COUNT(AS73:AS92)-1)*($AQ$35-$AJ93)^2/$AJ94^2),$AQ$38*STEYX(AS73:AS92,$AJ73:$AJ92)/(SQRT(COUNT(AS73:AS92)-1))/$AJ94))</f>
        <v>5.136781168173937</v>
      </c>
      <c r="AT95" s="5">
        <f>IF(ISBLANK($AQ$35),AT94/SQRT(COUNT(AT73:AT92)),IF(ISBLANK($AQ$38),AT94*SQRT(1/COUNT(AT73:AT92)+1/(COUNT(AT73:AT92)-1)*($AQ$35-$AJ93)^2/$AJ94^2),$AQ$38*STEYX(AT73:AT92,$AJ73:$AJ92)/(SQRT(COUNT(AT73:AT92)-1))/$AJ94))</f>
        <v>5.012086221115582</v>
      </c>
      <c r="AU95" s="5" t="e">
        <f>IF(ISBLANK($AQ$35),AU94/SQRT(COUNT(AU73:AU92)),IF(ISBLANK($AQ$38),AU94*SQRT(1/COUNT(AU73:AU92)+1/(COUNT(AU73:AU92)-1)*($AQ$35-$AJ93)^2/$AJ94^2),$AQ$38*STEYX(AU73:AU92,$AJ73:$AJ92)/(SQRT(COUNT(AU73:AU92)-1))/$AJ94))</f>
        <v>#DIV/0!</v>
      </c>
    </row>
    <row r="96" spans="2:47" ht="12.75">
      <c r="B96" s="46"/>
      <c r="C96" s="6" t="s">
        <v>75</v>
      </c>
      <c r="D96" s="101">
        <f>D97-1</f>
        <v>19</v>
      </c>
      <c r="E96" s="101">
        <f>E97-1</f>
        <v>19</v>
      </c>
      <c r="F96" s="101">
        <f>F97-1</f>
        <v>19</v>
      </c>
      <c r="G96" s="5"/>
      <c r="H96" s="5"/>
      <c r="I96" s="5"/>
      <c r="J96" s="6" t="s">
        <v>75</v>
      </c>
      <c r="K96" s="101">
        <f>IF(ISBLANK($K$35),COUNT(K73:K92)-1,COUNT(K73:K92)-2)</f>
        <v>19</v>
      </c>
      <c r="L96" s="101">
        <f>IF(ISBLANK($K$35),COUNT(L73:L92)-1,COUNT(L73:L92)-2)</f>
        <v>19</v>
      </c>
      <c r="M96" s="101">
        <f>IF(ISBLANK($K$35),COUNT(M73:M92)-1,COUNT(M73:M92)-2)</f>
        <v>19</v>
      </c>
      <c r="N96" s="101">
        <f>IF(ISBLANK($K$35),COUNT(N73:N92)-1,COUNT(N73:N92)-2)</f>
        <v>19</v>
      </c>
      <c r="O96" s="101">
        <f>IF(ISBLANK($K$35),COUNT(O73:O92)-1,COUNT(O73:O92)-2)</f>
        <v>-1</v>
      </c>
      <c r="S96" s="6" t="s">
        <v>75</v>
      </c>
      <c r="T96" s="101">
        <f>COUNT(T73:T92)-1</f>
        <v>19</v>
      </c>
      <c r="U96" s="101">
        <f>COUNT(U73:U92)-1</f>
        <v>19</v>
      </c>
      <c r="V96" s="101">
        <f>COUNT(V73:V92)-1</f>
        <v>19</v>
      </c>
      <c r="W96" s="101"/>
      <c r="X96" s="101"/>
      <c r="Y96" s="7"/>
      <c r="Z96" s="6" t="s">
        <v>75</v>
      </c>
      <c r="AA96" s="101">
        <f>IF(ISBLANK($AA$35),COUNT(AA73:AA92)-1,COUNT(AA73:AA92)-2)</f>
        <v>19</v>
      </c>
      <c r="AB96" s="101">
        <f>IF(ISBLANK($AA$35),COUNT(AB73:AB92)-1,COUNT(AB73:AB92)-2)</f>
        <v>19</v>
      </c>
      <c r="AC96" s="101">
        <f>IF(ISBLANK($AA$35),COUNT(AC73:AC92)-1,COUNT(AC73:AC92)-2)</f>
        <v>19</v>
      </c>
      <c r="AD96" s="101">
        <f>IF(ISBLANK($AA$35),COUNT(AD73:AD92)-1,COUNT(AD73:AD92)-2)</f>
        <v>19</v>
      </c>
      <c r="AE96" s="101">
        <f>IF(ISBLANK($AA$35),COUNT(AE73:AE92)-1,COUNT(AE73:AE92)-2)</f>
        <v>-1</v>
      </c>
      <c r="AI96" s="6" t="s">
        <v>75</v>
      </c>
      <c r="AJ96" s="101">
        <f>COUNT(AJ73:AJ92)-1</f>
        <v>19</v>
      </c>
      <c r="AK96" s="101">
        <f>COUNT(AK73:AK92)-1</f>
        <v>19</v>
      </c>
      <c r="AL96" s="101">
        <f>COUNT(AL73:AL92)-1</f>
        <v>19</v>
      </c>
      <c r="AM96" s="101"/>
      <c r="AN96" s="101"/>
      <c r="AO96" s="7"/>
      <c r="AP96" s="6" t="s">
        <v>75</v>
      </c>
      <c r="AQ96" s="101">
        <f>IF(ISBLANK($AQ$35),COUNT(AQ73:AQ92)-1,COUNT(AQ73:AQ92)-2)</f>
        <v>19</v>
      </c>
      <c r="AR96" s="101">
        <f>IF(ISBLANK($AQ$35),COUNT(AR73:AR92)-1,COUNT(AR73:AR92)-2)</f>
        <v>19</v>
      </c>
      <c r="AS96" s="101">
        <f>IF(ISBLANK($AQ$35),COUNT(AS73:AS92)-1,COUNT(AS73:AS92)-2)</f>
        <v>19</v>
      </c>
      <c r="AT96" s="101">
        <f>IF(ISBLANK($AQ$35),COUNT(AT73:AT92)-1,COUNT(AT73:AT92)-2)</f>
        <v>19</v>
      </c>
      <c r="AU96" s="101">
        <f>IF(ISBLANK($AQ$35),COUNT(AU73:AU92)-1,COUNT(AU73:AU92)-2)</f>
        <v>-1</v>
      </c>
    </row>
    <row r="97" spans="2:47" ht="12.75">
      <c r="B97" s="46"/>
      <c r="C97" s="6" t="s">
        <v>49</v>
      </c>
      <c r="D97" s="299">
        <f>COUNT(D73:D92)</f>
        <v>20</v>
      </c>
      <c r="E97" s="299">
        <f>COUNT(E73:E92)</f>
        <v>20</v>
      </c>
      <c r="F97" s="299">
        <f>COUNT(F73:F92)</f>
        <v>20</v>
      </c>
      <c r="G97" s="299">
        <f>COUNT(G73:G92)</f>
        <v>20</v>
      </c>
      <c r="H97" s="299">
        <f>COUNT(H73:H92)</f>
        <v>20</v>
      </c>
      <c r="I97" s="282"/>
      <c r="J97" s="283" t="s">
        <v>170</v>
      </c>
      <c r="K97" s="284">
        <f aca="true" t="shared" si="56" ref="K97:O98">K93/$E$115</f>
        <v>0.37393740167992584</v>
      </c>
      <c r="L97" s="284">
        <f t="shared" si="56"/>
        <v>0.5612019763672107</v>
      </c>
      <c r="M97" s="284">
        <f t="shared" si="56"/>
        <v>0.2906321571623586</v>
      </c>
      <c r="N97" s="284">
        <f t="shared" si="56"/>
        <v>-0.2705698192048521</v>
      </c>
      <c r="O97" s="285" t="e">
        <f t="shared" si="56"/>
        <v>#DIV/0!</v>
      </c>
      <c r="S97" s="6" t="s">
        <v>49</v>
      </c>
      <c r="T97" s="299">
        <f>COUNT(T73:T92)</f>
        <v>20</v>
      </c>
      <c r="U97" s="299">
        <f>COUNT(U73:U92)</f>
        <v>20</v>
      </c>
      <c r="V97" s="299">
        <f>COUNT(V73:V92)</f>
        <v>20</v>
      </c>
      <c r="W97" s="299">
        <f>COUNT(W73:W92)</f>
        <v>20</v>
      </c>
      <c r="X97" s="299">
        <f>COUNT(X73:X92)</f>
        <v>20</v>
      </c>
      <c r="Y97" s="290"/>
      <c r="Z97" s="291" t="s">
        <v>118</v>
      </c>
      <c r="AA97" s="292">
        <f aca="true" t="shared" si="57" ref="AA97:AE98">100*EXP(AA93/100)-100</f>
        <v>2.142651748002052</v>
      </c>
      <c r="AB97" s="292">
        <f t="shared" si="57"/>
        <v>3.1220378265069115</v>
      </c>
      <c r="AC97" s="292">
        <f t="shared" si="57"/>
        <v>1.6452537274058017</v>
      </c>
      <c r="AD97" s="292">
        <f t="shared" si="57"/>
        <v>-1.4320742008470404</v>
      </c>
      <c r="AE97" s="293" t="e">
        <f t="shared" si="57"/>
        <v>#DIV/0!</v>
      </c>
      <c r="AI97" s="6" t="s">
        <v>49</v>
      </c>
      <c r="AJ97" s="299">
        <f>COUNT(AJ73:AJ92)</f>
        <v>20</v>
      </c>
      <c r="AK97" s="299">
        <f>COUNT(AK73:AK92)</f>
        <v>20</v>
      </c>
      <c r="AL97" s="299">
        <f>COUNT(AL73:AL92)</f>
        <v>20</v>
      </c>
      <c r="AM97" s="299">
        <f>COUNT(AM73:AM92)</f>
        <v>20</v>
      </c>
      <c r="AN97" s="299">
        <f>COUNT(AN73:AN92)</f>
        <v>20</v>
      </c>
      <c r="AO97" s="282"/>
      <c r="AP97" s="283" t="s">
        <v>170</v>
      </c>
      <c r="AQ97" s="284">
        <f aca="true" t="shared" si="58" ref="AQ97:AU98">AQ93/$AK$115</f>
        <v>0.39477925523010493</v>
      </c>
      <c r="AR97" s="284">
        <f t="shared" si="58"/>
        <v>0.5274875359430499</v>
      </c>
      <c r="AS97" s="284">
        <f t="shared" si="58"/>
        <v>0.23307588797483597</v>
      </c>
      <c r="AT97" s="284">
        <f t="shared" si="58"/>
        <v>-0.2944116479682139</v>
      </c>
      <c r="AU97" s="285" t="e">
        <f t="shared" si="58"/>
        <v>#DIV/0!</v>
      </c>
    </row>
    <row r="98" spans="2:47" ht="12.75">
      <c r="B98" s="46"/>
      <c r="C98" s="6"/>
      <c r="D98" s="6"/>
      <c r="E98" s="5"/>
      <c r="F98" s="5"/>
      <c r="G98" s="5"/>
      <c r="H98" s="5"/>
      <c r="I98" s="286"/>
      <c r="J98" s="287" t="s">
        <v>171</v>
      </c>
      <c r="K98" s="288">
        <f t="shared" si="56"/>
        <v>0.6218246804784918</v>
      </c>
      <c r="L98" s="288">
        <f t="shared" si="56"/>
        <v>0.6751889751508592</v>
      </c>
      <c r="M98" s="288">
        <f t="shared" si="56"/>
        <v>0.8041666045668661</v>
      </c>
      <c r="N98" s="288">
        <f t="shared" si="56"/>
        <v>0.7648741745593655</v>
      </c>
      <c r="O98" s="289" t="e">
        <f t="shared" si="56"/>
        <v>#DIV/0!</v>
      </c>
      <c r="S98" s="6" t="s">
        <v>6</v>
      </c>
      <c r="T98" s="6"/>
      <c r="U98" s="76">
        <f>EXP(U93/100)</f>
        <v>388.92148335634965</v>
      </c>
      <c r="V98" s="76">
        <f>EXP(V93/100)</f>
        <v>397.25471631784046</v>
      </c>
      <c r="W98" s="76">
        <f>EXP(W93/100)</f>
        <v>409.6571588288658</v>
      </c>
      <c r="X98" s="76">
        <f>EXP(X93/100)</f>
        <v>403.7905643453551</v>
      </c>
      <c r="Y98" s="294"/>
      <c r="Z98" s="287" t="s">
        <v>120</v>
      </c>
      <c r="AA98" s="295">
        <f t="shared" si="57"/>
        <v>3.599023440473843</v>
      </c>
      <c r="AB98" s="295">
        <f t="shared" si="57"/>
        <v>3.7542159405399502</v>
      </c>
      <c r="AC98" s="295">
        <f t="shared" si="57"/>
        <v>4.635990504670502</v>
      </c>
      <c r="AD98" s="295">
        <f t="shared" si="57"/>
        <v>4.343920326205094</v>
      </c>
      <c r="AE98" s="296" t="e">
        <f t="shared" si="57"/>
        <v>#DIV/0!</v>
      </c>
      <c r="AI98" s="6" t="s">
        <v>6</v>
      </c>
      <c r="AJ98" s="6"/>
      <c r="AK98" s="75">
        <f>PERCENTILE(allraw,AK93/100)</f>
        <v>390.6698457854111</v>
      </c>
      <c r="AL98" s="75">
        <f>PERCENTILE(allraw,AL93/100)</f>
        <v>400.9694943531972</v>
      </c>
      <c r="AM98" s="75">
        <f>PERCENTILE(allraw,AM93/100)</f>
        <v>409.5586550038378</v>
      </c>
      <c r="AN98" s="75">
        <f>PERCENTILE(allraw,AN93/100)</f>
        <v>404.8517301793885</v>
      </c>
      <c r="AO98" s="286"/>
      <c r="AP98" s="287" t="s">
        <v>171</v>
      </c>
      <c r="AQ98" s="288">
        <f t="shared" si="58"/>
        <v>0.7005476996039441</v>
      </c>
      <c r="AR98" s="288">
        <f t="shared" si="58"/>
        <v>0.7308448561475934</v>
      </c>
      <c r="AS98" s="288">
        <f t="shared" si="58"/>
        <v>0.8146747273477659</v>
      </c>
      <c r="AT98" s="288">
        <f t="shared" si="58"/>
        <v>0.794898564285612</v>
      </c>
      <c r="AU98" s="289" t="e">
        <f t="shared" si="58"/>
        <v>#DIV/0!</v>
      </c>
    </row>
    <row r="99" spans="2:47" ht="12.75">
      <c r="B99" s="46"/>
      <c r="C99" s="6"/>
      <c r="D99" s="6"/>
      <c r="E99" s="5"/>
      <c r="F99" s="5"/>
      <c r="G99" s="5"/>
      <c r="H99" s="5"/>
      <c r="I99" s="5"/>
      <c r="J99" s="5"/>
      <c r="K99" s="5"/>
      <c r="L99" s="5"/>
      <c r="M99" s="5"/>
      <c r="N99" s="5"/>
      <c r="O99" s="5"/>
      <c r="S99" s="6" t="s">
        <v>7</v>
      </c>
      <c r="T99" s="6"/>
      <c r="U99" s="76">
        <f>100*EXP(U94/100)-100</f>
        <v>5.582244964670593</v>
      </c>
      <c r="V99" s="76">
        <f>100*EXP(V94/100)-100</f>
        <v>5.956847867895277</v>
      </c>
      <c r="W99" s="76">
        <f>100*EXP(W94/100)-100</f>
        <v>6.8688249482413255</v>
      </c>
      <c r="X99" s="76">
        <f>100*EXP(X94/100)-100</f>
        <v>5.868998269556698</v>
      </c>
      <c r="Y99" s="282"/>
      <c r="Z99" s="283" t="s">
        <v>119</v>
      </c>
      <c r="AA99" s="297">
        <f aca="true" t="shared" si="59" ref="AA99:AE100">EXP(AA93/100)</f>
        <v>1.0214265174800206</v>
      </c>
      <c r="AB99" s="297">
        <f t="shared" si="59"/>
        <v>1.031220378265069</v>
      </c>
      <c r="AC99" s="297">
        <f t="shared" si="59"/>
        <v>1.016452537274058</v>
      </c>
      <c r="AD99" s="297">
        <f t="shared" si="59"/>
        <v>0.9856792579915297</v>
      </c>
      <c r="AE99" s="298" t="e">
        <f t="shared" si="59"/>
        <v>#DIV/0!</v>
      </c>
      <c r="AI99" s="6" t="s">
        <v>44</v>
      </c>
      <c r="AJ99" s="6"/>
      <c r="AK99" s="75">
        <f>(PERCENTILE(allraw,(AK93+AK94)/100)-PERCENTILE(allraw,(AK93-AK94)/100))/2</f>
        <v>17.658360717872085</v>
      </c>
      <c r="AL99" s="75">
        <f>(PERCENTILE(allraw,(AL93+AL94)/100)-PERCENTILE(allraw,(AL93-AL94)/100))/2</f>
        <v>17.23805003836523</v>
      </c>
      <c r="AM99" s="75">
        <f>(PERCENTILE(allraw,(AM93+AM94)/100)-PERCENTILE(allraw,(AM93-AM94)/100))/2</f>
        <v>19.837591410560663</v>
      </c>
      <c r="AN99" s="75">
        <f>(PERCENTILE(allraw,(AN93+AN94)/100)-PERCENTILE(allraw,(AN93-AN94)/100))/2</f>
        <v>19.335969338716495</v>
      </c>
      <c r="AO99" s="5"/>
      <c r="AP99" s="5"/>
      <c r="AQ99" s="5"/>
      <c r="AR99" s="5"/>
      <c r="AS99" s="5"/>
      <c r="AT99" s="5"/>
      <c r="AU99" s="5"/>
    </row>
    <row r="100" spans="2:47" ht="12.75">
      <c r="B100" s="46"/>
      <c r="C100" s="6"/>
      <c r="D100" s="6"/>
      <c r="E100" s="5"/>
      <c r="F100" s="5"/>
      <c r="G100" s="5"/>
      <c r="H100" s="5"/>
      <c r="I100" s="5"/>
      <c r="J100" s="5"/>
      <c r="K100" s="5"/>
      <c r="L100" s="5"/>
      <c r="M100" s="5"/>
      <c r="N100" s="5"/>
      <c r="O100" s="5"/>
      <c r="S100" s="6" t="s">
        <v>8</v>
      </c>
      <c r="T100" s="6"/>
      <c r="U100" s="75">
        <f>EXP(U94/100)</f>
        <v>1.055822449646706</v>
      </c>
      <c r="V100" s="75">
        <f>EXP(V94/100)</f>
        <v>1.0595684786789528</v>
      </c>
      <c r="W100" s="75">
        <f>EXP(W94/100)</f>
        <v>1.0686882494824133</v>
      </c>
      <c r="X100" s="75">
        <f>EXP(X94/100)</f>
        <v>1.058689982695567</v>
      </c>
      <c r="Y100" s="286"/>
      <c r="Z100" s="287" t="s">
        <v>121</v>
      </c>
      <c r="AA100" s="288">
        <f t="shared" si="59"/>
        <v>1.0359902344047385</v>
      </c>
      <c r="AB100" s="288">
        <f t="shared" si="59"/>
        <v>1.0375421594053995</v>
      </c>
      <c r="AC100" s="288">
        <f t="shared" si="59"/>
        <v>1.046359905046705</v>
      </c>
      <c r="AD100" s="288">
        <f t="shared" si="59"/>
        <v>1.043439203262051</v>
      </c>
      <c r="AE100" s="289" t="e">
        <f t="shared" si="59"/>
        <v>#DIV/0!</v>
      </c>
      <c r="AI100" s="6"/>
      <c r="AJ100" s="6"/>
      <c r="AK100" s="5"/>
      <c r="AL100" s="5"/>
      <c r="AM100" s="5"/>
      <c r="AN100" s="5"/>
      <c r="AO100" s="5"/>
      <c r="AP100" s="5"/>
      <c r="AQ100" s="5"/>
      <c r="AR100" s="5"/>
      <c r="AS100" s="5"/>
      <c r="AT100" s="5"/>
      <c r="AU100" s="5"/>
    </row>
    <row r="101" spans="2:47" ht="12.75">
      <c r="B101" s="46"/>
      <c r="C101" s="6"/>
      <c r="D101" s="6"/>
      <c r="E101" s="5"/>
      <c r="F101" s="5"/>
      <c r="G101" s="5"/>
      <c r="H101" s="5"/>
      <c r="I101" s="5"/>
      <c r="J101" s="5"/>
      <c r="K101" s="5"/>
      <c r="L101" s="5"/>
      <c r="M101" s="5"/>
      <c r="N101" s="5"/>
      <c r="O101" s="5"/>
      <c r="S101" s="6"/>
      <c r="T101" s="6"/>
      <c r="U101" s="75"/>
      <c r="V101" s="75"/>
      <c r="W101" s="5"/>
      <c r="X101" s="5"/>
      <c r="Y101" s="282"/>
      <c r="Z101" s="283" t="s">
        <v>170</v>
      </c>
      <c r="AA101" s="284">
        <f aca="true" t="shared" si="60" ref="AA101:AE102">AA93/$U$115</f>
        <v>0.3709953617125236</v>
      </c>
      <c r="AB101" s="284">
        <f t="shared" si="60"/>
        <v>0.5379896275138178</v>
      </c>
      <c r="AC101" s="284">
        <f t="shared" si="60"/>
        <v>0.2855703409995607</v>
      </c>
      <c r="AD101" s="284">
        <f t="shared" si="60"/>
        <v>-0.25241928651425727</v>
      </c>
      <c r="AE101" s="285" t="e">
        <f t="shared" si="60"/>
        <v>#DIV/0!</v>
      </c>
      <c r="AI101" s="6"/>
      <c r="AJ101" s="6"/>
      <c r="AK101" s="5"/>
      <c r="AL101" s="5"/>
      <c r="AM101" s="5"/>
      <c r="AN101" s="5"/>
      <c r="AO101" s="5"/>
      <c r="AP101" s="5"/>
      <c r="AQ101" s="5"/>
      <c r="AR101" s="5"/>
      <c r="AS101" s="5"/>
      <c r="AT101" s="5"/>
      <c r="AU101" s="5"/>
    </row>
    <row r="102" spans="2:47" ht="12.75">
      <c r="B102" s="46"/>
      <c r="C102" s="6"/>
      <c r="D102" s="6"/>
      <c r="E102" s="5"/>
      <c r="F102" s="5"/>
      <c r="G102" s="5"/>
      <c r="H102" s="5"/>
      <c r="I102" s="5"/>
      <c r="J102" s="5"/>
      <c r="K102" s="5"/>
      <c r="L102" s="5"/>
      <c r="M102" s="5"/>
      <c r="N102" s="5"/>
      <c r="O102" s="5"/>
      <c r="S102" s="6"/>
      <c r="T102" s="6"/>
      <c r="U102" s="75"/>
      <c r="V102" s="75"/>
      <c r="W102" s="5"/>
      <c r="X102" s="5"/>
      <c r="Y102" s="286"/>
      <c r="Z102" s="287" t="s">
        <v>171</v>
      </c>
      <c r="AA102" s="288">
        <f t="shared" si="60"/>
        <v>0.6187465776414092</v>
      </c>
      <c r="AB102" s="288">
        <f t="shared" si="60"/>
        <v>0.6449415876893109</v>
      </c>
      <c r="AC102" s="288">
        <f t="shared" si="60"/>
        <v>0.7930369427641183</v>
      </c>
      <c r="AD102" s="288">
        <f t="shared" si="60"/>
        <v>0.7441220007938761</v>
      </c>
      <c r="AE102" s="289" t="e">
        <f t="shared" si="60"/>
        <v>#DIV/0!</v>
      </c>
      <c r="AI102" s="6"/>
      <c r="AJ102" s="6"/>
      <c r="AK102" s="5"/>
      <c r="AL102" s="5"/>
      <c r="AM102" s="5"/>
      <c r="AN102" s="5"/>
      <c r="AO102" s="5"/>
      <c r="AP102" s="5"/>
      <c r="AQ102" s="5"/>
      <c r="AR102" s="5"/>
      <c r="AS102" s="5"/>
      <c r="AT102" s="5"/>
      <c r="AU102" s="5"/>
    </row>
    <row r="103" spans="2:47" s="11" customFormat="1" ht="12.75">
      <c r="B103" s="216"/>
      <c r="C103" s="217" t="s">
        <v>111</v>
      </c>
      <c r="D103" s="217"/>
      <c r="E103" s="218"/>
      <c r="F103" s="218"/>
      <c r="G103" s="10"/>
      <c r="H103" s="10"/>
      <c r="I103" s="10"/>
      <c r="K103" s="10"/>
      <c r="L103" s="10"/>
      <c r="M103" s="10"/>
      <c r="N103" s="10"/>
      <c r="O103" s="10"/>
      <c r="R103" s="218"/>
      <c r="S103" s="217" t="s">
        <v>111</v>
      </c>
      <c r="T103" s="217"/>
      <c r="U103" s="225"/>
      <c r="V103" s="225"/>
      <c r="W103" s="10"/>
      <c r="Z103" s="105"/>
      <c r="AB103" s="77"/>
      <c r="AC103" s="77"/>
      <c r="AD103" s="77"/>
      <c r="AE103" s="77"/>
      <c r="AH103" s="218"/>
      <c r="AI103" s="217" t="s">
        <v>111</v>
      </c>
      <c r="AJ103" s="217"/>
      <c r="AK103" s="225"/>
      <c r="AL103" s="225"/>
      <c r="AM103" s="10"/>
      <c r="AN103" s="10"/>
      <c r="AO103" s="10"/>
      <c r="AP103" s="105"/>
      <c r="AQ103" s="10"/>
      <c r="AR103" s="10"/>
      <c r="AS103" s="10"/>
      <c r="AT103" s="10"/>
      <c r="AU103" s="10"/>
    </row>
    <row r="104" spans="2:47" s="11" customFormat="1" ht="12.75">
      <c r="B104" s="216"/>
      <c r="C104" s="219" t="s">
        <v>2</v>
      </c>
      <c r="D104" s="220">
        <f>AVERAGE(D42:D61,D73:D92)</f>
        <v>9.153473830910087</v>
      </c>
      <c r="E104" s="220">
        <f>AVERAGE(E42:E61,E73:E92)</f>
        <v>396.60113831809247</v>
      </c>
      <c r="F104" s="220">
        <f>AVERAGE(F42:F61,F73:F92)</f>
        <v>401.924730917313</v>
      </c>
      <c r="G104" s="10"/>
      <c r="H104" s="10"/>
      <c r="I104" s="10"/>
      <c r="J104" s="8"/>
      <c r="K104" s="108"/>
      <c r="L104" s="108"/>
      <c r="M104" s="108"/>
      <c r="N104" s="108"/>
      <c r="O104" s="108"/>
      <c r="R104" s="218"/>
      <c r="S104" s="219" t="s">
        <v>2</v>
      </c>
      <c r="T104" s="220">
        <f>AVERAGE(T42:T61,T73:T92)</f>
        <v>9.153473830910087</v>
      </c>
      <c r="U104" s="246">
        <f>AVERAGE(U42:U61,U73:U92)</f>
        <v>598.1375657617879</v>
      </c>
      <c r="V104" s="246">
        <f>AVERAGE(V42:V61,V73:V92)</f>
        <v>599.4787685064542</v>
      </c>
      <c r="W104" s="10"/>
      <c r="Z104" s="8"/>
      <c r="AA104" s="106"/>
      <c r="AB104" s="106"/>
      <c r="AC104" s="106"/>
      <c r="AD104" s="106"/>
      <c r="AE104" s="106"/>
      <c r="AH104" s="218"/>
      <c r="AI104" s="219" t="s">
        <v>2</v>
      </c>
      <c r="AJ104" s="220">
        <f>AVERAGE(AJ42:AJ61,AJ73:AJ92)</f>
        <v>9.153473830910087</v>
      </c>
      <c r="AK104" s="250">
        <f>AVERAGE(AK42:AK61,AK73:AK92)</f>
        <v>40.738993710691815</v>
      </c>
      <c r="AL104" s="250">
        <f>AVERAGE(AL42:AL61,AL73:AL92)</f>
        <v>47.562893081761004</v>
      </c>
      <c r="AM104" s="10"/>
      <c r="AN104" s="10"/>
      <c r="AO104" s="10"/>
      <c r="AP104" s="8"/>
      <c r="AQ104" s="106"/>
      <c r="AR104" s="10"/>
      <c r="AS104" s="10"/>
      <c r="AT104" s="10"/>
      <c r="AU104" s="10"/>
    </row>
    <row r="105" spans="2:47" s="11" customFormat="1" ht="12.75">
      <c r="B105" s="218"/>
      <c r="C105" s="219" t="s">
        <v>3</v>
      </c>
      <c r="D105" s="220">
        <f>STDEV(D42:D61,D73:D92)</f>
        <v>3.3054070053958764</v>
      </c>
      <c r="E105" s="220">
        <f>STDEV(E42:E61,E73:E92)</f>
        <v>22.25774040812881</v>
      </c>
      <c r="F105" s="220">
        <f>STDEV(F42:F61,F73:F92)</f>
        <v>21.885847696103294</v>
      </c>
      <c r="G105" s="10"/>
      <c r="H105" s="10"/>
      <c r="I105" s="180"/>
      <c r="J105" s="181" t="str">
        <f>CONCATENATE("For plotting chosen ",$D$41,":")</f>
        <v>For plotting chosen X:</v>
      </c>
      <c r="K105" s="182"/>
      <c r="L105" s="182"/>
      <c r="M105" s="182"/>
      <c r="N105" s="182"/>
      <c r="O105" s="108"/>
      <c r="R105" s="218"/>
      <c r="S105" s="219" t="s">
        <v>3</v>
      </c>
      <c r="T105" s="220">
        <f>STDEV(T42:T61,T73:T92)</f>
        <v>3.3054070053958764</v>
      </c>
      <c r="U105" s="246">
        <f>STDEV(U42:U61,U73:U92)</f>
        <v>5.66945529276755</v>
      </c>
      <c r="V105" s="246">
        <f>STDEV(V42:V61,V73:V92)</f>
        <v>5.537383934889139</v>
      </c>
      <c r="W105" s="10"/>
      <c r="Z105" s="181" t="str">
        <f>CONCATENATE("For plotting chosen ",$D$41,":")</f>
        <v>For plotting chosen X:</v>
      </c>
      <c r="AA105" s="182"/>
      <c r="AB105" s="182"/>
      <c r="AC105" s="182"/>
      <c r="AD105" s="182"/>
      <c r="AE105" s="107"/>
      <c r="AH105" s="218"/>
      <c r="AI105" s="219" t="s">
        <v>3</v>
      </c>
      <c r="AJ105" s="220">
        <f>STDEV(AJ42:AJ61,AJ73:AJ92)</f>
        <v>3.3054070053958764</v>
      </c>
      <c r="AK105" s="250">
        <f>STDEV(AK42:AK61,AK73:AK92)</f>
        <v>27.995252478941</v>
      </c>
      <c r="AL105" s="250">
        <f>STDEV(AL42:AL61,AL73:AL92)</f>
        <v>27.305356132278575</v>
      </c>
      <c r="AM105" s="10"/>
      <c r="AN105" s="10"/>
      <c r="AO105" s="10"/>
      <c r="AP105" s="181" t="str">
        <f>CONCATENATE("For plotting chosen ",$D$41,":")</f>
        <v>For plotting chosen X:</v>
      </c>
      <c r="AQ105" s="182"/>
      <c r="AR105" s="182"/>
      <c r="AS105" s="182"/>
      <c r="AT105" s="182"/>
      <c r="AU105" s="10"/>
    </row>
    <row r="106" spans="2:47" s="11" customFormat="1" ht="12.75">
      <c r="B106" s="218"/>
      <c r="C106" s="221" t="s">
        <v>49</v>
      </c>
      <c r="D106" s="222">
        <f>D66+D97</f>
        <v>40</v>
      </c>
      <c r="E106" s="222">
        <f>E66+E97</f>
        <v>40</v>
      </c>
      <c r="F106" s="222">
        <f>F66+F97</f>
        <v>40</v>
      </c>
      <c r="G106" s="10"/>
      <c r="H106" s="10"/>
      <c r="I106" s="181"/>
      <c r="J106" s="183" t="s">
        <v>109</v>
      </c>
      <c r="K106" s="182">
        <f>MAX(K42:K61,K73:K92)</f>
        <v>41.30574051001895</v>
      </c>
      <c r="L106" s="182">
        <f>MAX(L42:L61,L73:L92)</f>
        <v>41.36350730757141</v>
      </c>
      <c r="M106" s="182">
        <f>MAX(M42:M61,M73:M92)</f>
        <v>40.362694380908124</v>
      </c>
      <c r="N106" s="182">
        <f>MAX(N42:N61,N73:N92)</f>
        <v>19.55094882063787</v>
      </c>
      <c r="O106" s="182">
        <f>MAX(O42:O61,O73:O92)</f>
        <v>0</v>
      </c>
      <c r="R106" s="218"/>
      <c r="S106" s="221" t="s">
        <v>49</v>
      </c>
      <c r="T106" s="222">
        <f>T66+T97</f>
        <v>40</v>
      </c>
      <c r="U106" s="222">
        <f>U66+U97</f>
        <v>40</v>
      </c>
      <c r="V106" s="222">
        <f>V66+V97</f>
        <v>40</v>
      </c>
      <c r="W106" s="10"/>
      <c r="Z106" s="183" t="s">
        <v>109</v>
      </c>
      <c r="AA106" s="182">
        <f>MAX(AA42:AA61,AA73:AA92)</f>
        <v>10.45712454706836</v>
      </c>
      <c r="AB106" s="182">
        <f>MAX(AB42:AB61,AB73:AB92)</f>
        <v>9.878754570805086</v>
      </c>
      <c r="AC106" s="182">
        <f>MAX(AC42:AC61,AC73:AC92)</f>
        <v>9.650900092576876</v>
      </c>
      <c r="AD106" s="182">
        <f>MAX(AD42:AD61,AD73:AD92)</f>
        <v>5.546140815673766</v>
      </c>
      <c r="AE106" s="182">
        <f>MAX(AE42:AE61,AE73:AE92)</f>
        <v>0</v>
      </c>
      <c r="AH106" s="218"/>
      <c r="AI106" s="221" t="s">
        <v>49</v>
      </c>
      <c r="AJ106" s="222">
        <f>AJ66+AJ97</f>
        <v>40</v>
      </c>
      <c r="AK106" s="222">
        <f>AK66+AK97</f>
        <v>40</v>
      </c>
      <c r="AL106" s="222">
        <f>AL66+AL97</f>
        <v>40</v>
      </c>
      <c r="AM106" s="10"/>
      <c r="AO106" s="10"/>
      <c r="AP106" s="183" t="s">
        <v>109</v>
      </c>
      <c r="AQ106" s="182">
        <f>MAX(AQ42:AQ61,AQ73:AQ92)</f>
        <v>59.74842767295597</v>
      </c>
      <c r="AR106" s="182">
        <f>MAX(AR42:AR61,AR73:AR92)</f>
        <v>54.716981132075475</v>
      </c>
      <c r="AS106" s="182">
        <f>MAX(AS42:AS61,AS73:AS92)</f>
        <v>53.45911949685534</v>
      </c>
      <c r="AT106" s="182">
        <f>MAX(AT42:AT61,AT73:AT92)</f>
        <v>30.188679245283026</v>
      </c>
      <c r="AU106" s="182">
        <f>MAX(AU42:AU61,AU73:AU92)</f>
        <v>0</v>
      </c>
    </row>
    <row r="107" spans="2:47" s="11" customFormat="1" ht="12.75">
      <c r="B107" s="218"/>
      <c r="C107" s="219" t="s">
        <v>129</v>
      </c>
      <c r="D107" s="219"/>
      <c r="E107" s="223">
        <f>COUNT(allraw)</f>
        <v>160</v>
      </c>
      <c r="F107" s="223">
        <f>COUNT(allraw)</f>
        <v>160</v>
      </c>
      <c r="G107" s="10"/>
      <c r="H107" s="10"/>
      <c r="I107" s="181"/>
      <c r="J107" s="183" t="s">
        <v>110</v>
      </c>
      <c r="K107" s="182">
        <f>MIN(K42:K61,K73:K92)</f>
        <v>-18.90440269972794</v>
      </c>
      <c r="L107" s="182">
        <f>MIN(L42:L61,L73:L92)</f>
        <v>-14.868588655592418</v>
      </c>
      <c r="M107" s="182">
        <f>MIN(M42:M61,M73:M92)</f>
        <v>-32.30207913090766</v>
      </c>
      <c r="N107" s="182">
        <f>MIN(N42:N61,N73:N92)</f>
        <v>-37.27299950754161</v>
      </c>
      <c r="O107" s="182">
        <f>MIN(O42:O61,O73:O92)</f>
        <v>0</v>
      </c>
      <c r="R107" s="218"/>
      <c r="S107" s="219" t="s">
        <v>6</v>
      </c>
      <c r="T107" s="222"/>
      <c r="U107" s="231">
        <f>EXP(U104/100)</f>
        <v>395.98473305420555</v>
      </c>
      <c r="V107" s="231">
        <f>EXP(V104/100)</f>
        <v>401.3314662803824</v>
      </c>
      <c r="W107" s="10"/>
      <c r="Z107" s="183" t="s">
        <v>110</v>
      </c>
      <c r="AA107" s="182">
        <f>MIN(AA42:AA61,AA73:AA92)</f>
        <v>-4.550480285486515</v>
      </c>
      <c r="AB107" s="182">
        <f>MIN(AB42:AB61,AB73:AB92)</f>
        <v>-3.7368229480490527</v>
      </c>
      <c r="AC107" s="182">
        <f>MIN(AC42:AC61,AC73:AC92)</f>
        <v>-8.303878469914594</v>
      </c>
      <c r="AD107" s="182">
        <f>MIN(AD42:AD61,AD73:AD92)</f>
        <v>-9.035057395463468</v>
      </c>
      <c r="AE107" s="182">
        <f>MIN(AE42:AE61,AE73:AE92)</f>
        <v>0</v>
      </c>
      <c r="AH107" s="218"/>
      <c r="AI107" s="219" t="s">
        <v>6</v>
      </c>
      <c r="AJ107" s="219"/>
      <c r="AK107" s="226">
        <f>PERCENTILE(allraw,AK104/100)</f>
        <v>398.68233869000426</v>
      </c>
      <c r="AL107" s="226">
        <f>PERCENTILE(allraw,AL104/100)</f>
        <v>403.36005312789007</v>
      </c>
      <c r="AM107" s="10"/>
      <c r="AN107" s="10"/>
      <c r="AO107" s="10"/>
      <c r="AP107" s="183" t="s">
        <v>110</v>
      </c>
      <c r="AQ107" s="182">
        <f>MIN(AQ42:AQ61,AQ73:AQ92)</f>
        <v>-31.446540880503143</v>
      </c>
      <c r="AR107" s="182">
        <f>MIN(AR42:AR61,AR73:AR92)</f>
        <v>-18.238993710691823</v>
      </c>
      <c r="AS107" s="182">
        <f>MIN(AS42:AS61,AS73:AS92)</f>
        <v>-42.13836477987421</v>
      </c>
      <c r="AT107" s="182">
        <f>MIN(AT42:AT61,AT73:AT92)</f>
        <v>-54.08805031446541</v>
      </c>
      <c r="AU107" s="182">
        <f>MIN(AU42:AU61,AU73:AU92)</f>
        <v>0</v>
      </c>
    </row>
    <row r="108" spans="2:47" s="11" customFormat="1" ht="12.75">
      <c r="B108" s="218"/>
      <c r="C108" s="218"/>
      <c r="D108" s="218"/>
      <c r="E108" s="218"/>
      <c r="F108" s="218"/>
      <c r="G108" s="10"/>
      <c r="H108" s="10"/>
      <c r="I108" s="183" t="s">
        <v>105</v>
      </c>
      <c r="J108" s="181" t="e">
        <f>IF(ISBLANK(K35),1/0,K35)</f>
        <v>#DIV/0!</v>
      </c>
      <c r="K108" s="180"/>
      <c r="L108" s="181"/>
      <c r="M108" s="181"/>
      <c r="N108" s="181"/>
      <c r="O108" s="77"/>
      <c r="R108" s="218"/>
      <c r="S108" s="219" t="s">
        <v>7</v>
      </c>
      <c r="T108" s="219"/>
      <c r="U108" s="231">
        <f>100*EXP(U105/100)-100</f>
        <v>5.833249645777698</v>
      </c>
      <c r="V108" s="231">
        <f>100*EXP(V105/100)-100</f>
        <v>5.69356649690333</v>
      </c>
      <c r="W108" s="10"/>
      <c r="Y108" s="183" t="s">
        <v>105</v>
      </c>
      <c r="Z108" s="181" t="e">
        <f>IF(ISBLANK(AA35),1/0,AA35)</f>
        <v>#DIV/0!</v>
      </c>
      <c r="AA108" s="180"/>
      <c r="AB108" s="181"/>
      <c r="AC108" s="181"/>
      <c r="AD108" s="181"/>
      <c r="AE108" s="106"/>
      <c r="AH108" s="218"/>
      <c r="AI108" s="219" t="s">
        <v>44</v>
      </c>
      <c r="AJ108" s="219"/>
      <c r="AK108" s="226">
        <f>(PERCENTILE(allraw,(AK104+AK105)/100)-PERCENTILE(allraw,(AK104-AK105)/100))/2</f>
        <v>19.492770013757365</v>
      </c>
      <c r="AL108" s="226">
        <f>(PERCENTILE(allraw,(AL104+AL105)/100)-PERCENTILE(allraw,(AL104-AL105)/100))/2</f>
        <v>17.76984620689393</v>
      </c>
      <c r="AM108" s="10"/>
      <c r="AN108" s="10"/>
      <c r="AO108" s="183" t="s">
        <v>105</v>
      </c>
      <c r="AP108" s="181" t="e">
        <f>IF(ISBLANK(AQ35),1/0,AQ35)</f>
        <v>#DIV/0!</v>
      </c>
      <c r="AQ108" s="106"/>
      <c r="AR108" s="10"/>
      <c r="AS108" s="10"/>
      <c r="AT108" s="10"/>
      <c r="AU108" s="10"/>
    </row>
    <row r="109" spans="7:47" s="11" customFormat="1" ht="12.75">
      <c r="G109" s="10"/>
      <c r="H109" s="10"/>
      <c r="I109" s="183"/>
      <c r="J109" s="181" t="e">
        <f>J108</f>
        <v>#DIV/0!</v>
      </c>
      <c r="K109" s="180"/>
      <c r="L109" s="181"/>
      <c r="M109" s="181"/>
      <c r="N109" s="181"/>
      <c r="O109" s="10"/>
      <c r="R109" s="218"/>
      <c r="S109" s="219" t="s">
        <v>8</v>
      </c>
      <c r="T109" s="219"/>
      <c r="U109" s="226">
        <f>EXP(U105/100)</f>
        <v>1.058332496457777</v>
      </c>
      <c r="V109" s="226">
        <f>EXP(V105/100)</f>
        <v>1.0569356649690334</v>
      </c>
      <c r="W109" s="10"/>
      <c r="Y109" s="183"/>
      <c r="Z109" s="181" t="e">
        <f>Z108</f>
        <v>#DIV/0!</v>
      </c>
      <c r="AA109" s="180"/>
      <c r="AB109" s="181"/>
      <c r="AC109" s="181"/>
      <c r="AD109" s="181"/>
      <c r="AE109" s="107"/>
      <c r="AH109" s="218"/>
      <c r="AI109" s="219" t="s">
        <v>122</v>
      </c>
      <c r="AJ109" s="219"/>
      <c r="AK109" s="247">
        <f>IF(OR(ISERROR(AK107),ISBLANK(AK111),AK111=0),"",AK107)</f>
        <v>398.68233869000426</v>
      </c>
      <c r="AL109" s="247">
        <f>IF(OR(ISERROR(AL107),ISBLANK(AL111),AL111=0),"",AL107)</f>
        <v>403.36005312789007</v>
      </c>
      <c r="AM109" s="10"/>
      <c r="AN109" s="10"/>
      <c r="AO109" s="183"/>
      <c r="AP109" s="181" t="e">
        <f>AP108</f>
        <v>#DIV/0!</v>
      </c>
      <c r="AQ109" s="107"/>
      <c r="AR109" s="10"/>
      <c r="AS109" s="10"/>
      <c r="AT109" s="10"/>
      <c r="AU109" s="10"/>
    </row>
    <row r="110" spans="7:47" s="11" customFormat="1" ht="12.75">
      <c r="G110" s="10"/>
      <c r="H110" s="262"/>
      <c r="I110" s="10"/>
      <c r="J110" s="8"/>
      <c r="K110" s="107"/>
      <c r="L110" s="10"/>
      <c r="M110" s="10"/>
      <c r="N110" s="10"/>
      <c r="O110" s="10"/>
      <c r="W110" s="10"/>
      <c r="Z110" s="8"/>
      <c r="AA110" s="107"/>
      <c r="AB110" s="107"/>
      <c r="AC110" s="107"/>
      <c r="AD110" s="107"/>
      <c r="AE110" s="107"/>
      <c r="AH110" s="218"/>
      <c r="AI110" s="219" t="s">
        <v>123</v>
      </c>
      <c r="AJ110" s="218"/>
      <c r="AK110" s="247">
        <f>SQRT(SUMPRODUCT(AK109:AL109,AK109:AL109,AK111:AL111)/COUNT(AK109:AL109))</f>
        <v>401.0280162548906</v>
      </c>
      <c r="AL110" s="218"/>
      <c r="AM110" s="10"/>
      <c r="AN110" s="10"/>
      <c r="AO110" s="10"/>
      <c r="AP110" s="8"/>
      <c r="AQ110" s="107"/>
      <c r="AR110" s="10"/>
      <c r="AS110" s="10"/>
      <c r="AT110" s="10"/>
      <c r="AU110" s="10"/>
    </row>
    <row r="111" spans="2:47" s="11" customFormat="1" ht="12.75">
      <c r="B111" s="211"/>
      <c r="C111" s="214" t="s">
        <v>104</v>
      </c>
      <c r="D111" s="219"/>
      <c r="E111" s="215">
        <v>1</v>
      </c>
      <c r="F111" s="215">
        <v>1</v>
      </c>
      <c r="G111" s="10"/>
      <c r="H111" s="262"/>
      <c r="I111" s="10"/>
      <c r="J111" s="8"/>
      <c r="K111" s="107"/>
      <c r="L111" s="10"/>
      <c r="M111" s="10"/>
      <c r="N111" s="10"/>
      <c r="O111" s="10"/>
      <c r="R111" s="273"/>
      <c r="S111" s="274" t="s">
        <v>104</v>
      </c>
      <c r="T111" s="219"/>
      <c r="U111" s="275">
        <f>E111</f>
        <v>1</v>
      </c>
      <c r="V111" s="275">
        <f>F111</f>
        <v>1</v>
      </c>
      <c r="W111" s="10"/>
      <c r="Z111" s="8"/>
      <c r="AA111" s="107"/>
      <c r="AB111" s="107"/>
      <c r="AC111" s="107"/>
      <c r="AD111" s="107"/>
      <c r="AE111" s="107"/>
      <c r="AH111" s="273"/>
      <c r="AI111" s="274" t="s">
        <v>104</v>
      </c>
      <c r="AJ111" s="219"/>
      <c r="AK111" s="275">
        <f>E111</f>
        <v>1</v>
      </c>
      <c r="AL111" s="275">
        <f>F111</f>
        <v>1</v>
      </c>
      <c r="AM111" s="10"/>
      <c r="AN111" s="10"/>
      <c r="AO111" s="10"/>
      <c r="AP111" s="8"/>
      <c r="AQ111" s="107"/>
      <c r="AR111" s="10"/>
      <c r="AT111" s="10"/>
      <c r="AU111" s="10"/>
    </row>
    <row r="112" spans="2:47" s="11" customFormat="1" ht="12.75">
      <c r="B112" s="218"/>
      <c r="C112" s="219" t="s">
        <v>106</v>
      </c>
      <c r="D112" s="219"/>
      <c r="E112" s="224">
        <f>IF(OR(ISERROR(E105),ISBLANK(E111),E111=0),"",E105)</f>
        <v>22.25774040812881</v>
      </c>
      <c r="F112" s="224">
        <f>IF(OR(ISERROR(F105),ISBLANK(F111),F111=0),"",F105)</f>
        <v>21.885847696103294</v>
      </c>
      <c r="G112" s="10"/>
      <c r="H112" s="10"/>
      <c r="I112" s="10"/>
      <c r="J112" s="8"/>
      <c r="K112" s="107"/>
      <c r="L112" s="10"/>
      <c r="M112" s="10"/>
      <c r="N112" s="10"/>
      <c r="O112" s="10"/>
      <c r="R112" s="218"/>
      <c r="S112" s="219" t="s">
        <v>106</v>
      </c>
      <c r="T112" s="219"/>
      <c r="U112" s="247">
        <f>IF(OR(ISERROR(U105),ISBLANK(U111),U111=0),"",U105)</f>
        <v>5.66945529276755</v>
      </c>
      <c r="V112" s="247">
        <f>IF(OR(ISERROR(V105),ISBLANK(V111),V111=0),"",V105)</f>
        <v>5.537383934889139</v>
      </c>
      <c r="W112" s="10"/>
      <c r="Z112" s="8"/>
      <c r="AA112" s="107"/>
      <c r="AB112" s="107"/>
      <c r="AC112" s="107"/>
      <c r="AD112" s="107"/>
      <c r="AE112" s="107"/>
      <c r="AH112" s="218"/>
      <c r="AI112" s="219" t="s">
        <v>106</v>
      </c>
      <c r="AJ112" s="219"/>
      <c r="AK112" s="247">
        <f>IF(OR(ISERROR(AK105),ISBLANK(AK111),AK111=0),"",AK105)</f>
        <v>27.995252478941</v>
      </c>
      <c r="AL112" s="247">
        <f>IF(OR(ISERROR(AL105),ISBLANK(AL111),AL111=0),"",AL105)</f>
        <v>27.305356132278575</v>
      </c>
      <c r="AM112" s="344"/>
      <c r="AO112" s="10"/>
      <c r="AP112" s="8"/>
      <c r="AQ112" s="107"/>
      <c r="AR112" s="10"/>
      <c r="AS112" s="10"/>
      <c r="AT112" s="10"/>
      <c r="AU112" s="10"/>
    </row>
    <row r="113" spans="2:40" s="11" customFormat="1" ht="12.75">
      <c r="B113" s="218"/>
      <c r="C113" s="219" t="s">
        <v>217</v>
      </c>
      <c r="D113" s="218"/>
      <c r="E113" s="342">
        <f>SQRT(SUMPRODUCT(E112:F112,E112:F112,E111:F111)/COUNT(E112:F112))</f>
        <v>22.07257730140139</v>
      </c>
      <c r="F113" s="218"/>
      <c r="R113" s="218"/>
      <c r="S113" s="219" t="s">
        <v>219</v>
      </c>
      <c r="T113" s="218"/>
      <c r="U113" s="343">
        <f>100*U114-100</f>
        <v>5.763796535251117</v>
      </c>
      <c r="V113" s="218"/>
      <c r="AH113" s="218"/>
      <c r="AI113" s="219" t="s">
        <v>217</v>
      </c>
      <c r="AJ113" s="218"/>
      <c r="AK113" s="250">
        <f>SQRT(SUMPRODUCT(AK112:AL112,AK112:AL112,AK111:AL111)/COUNT(AK112:AL112))</f>
        <v>27.652455902416836</v>
      </c>
      <c r="AL113" s="218"/>
      <c r="AM113" s="105"/>
      <c r="AN113" s="105"/>
    </row>
    <row r="114" spans="2:40" s="11" customFormat="1" ht="12.75">
      <c r="B114" s="218"/>
      <c r="C114" s="218"/>
      <c r="D114" s="218"/>
      <c r="E114" s="218"/>
      <c r="F114" s="218"/>
      <c r="G114" s="10"/>
      <c r="H114" s="105"/>
      <c r="R114" s="218"/>
      <c r="S114" s="221" t="s">
        <v>221</v>
      </c>
      <c r="T114" s="218"/>
      <c r="U114" s="342">
        <f>EXP(SQRT(SUMPRODUCT(U112:V112,U112:V112,U111:V111)/COUNT(U112:V112))/100)</f>
        <v>1.0576379653525112</v>
      </c>
      <c r="V114" s="218"/>
      <c r="W114" s="10"/>
      <c r="X114" s="105"/>
      <c r="AH114" s="218"/>
      <c r="AI114" s="219" t="s">
        <v>220</v>
      </c>
      <c r="AJ114" s="218"/>
      <c r="AK114" s="226">
        <f>(PERCENTILE(allraw,(100*PERCENTRANK(allraw,AK110)+AK113)/100)-PERCENTILE(allraw,(100*PERCENTRANK(allraw,AK110)-AK113)/100))/2</f>
        <v>18.308209133037423</v>
      </c>
      <c r="AL114" s="218"/>
      <c r="AM114" s="10"/>
      <c r="AN114" s="10"/>
    </row>
    <row r="115" spans="1:40" ht="12.75">
      <c r="A115" s="11"/>
      <c r="B115" s="218"/>
      <c r="C115" s="219" t="s">
        <v>218</v>
      </c>
      <c r="D115" s="219"/>
      <c r="E115" s="261">
        <f>E113/(1-3/(4*(SUMPRODUCT(E106:F106,E111:F111)/SUM(E111:F111)-1)-1))</f>
        <v>22.50822027445537</v>
      </c>
      <c r="F115" s="220"/>
      <c r="G115" s="10"/>
      <c r="H115" s="10"/>
      <c r="P115" s="11"/>
      <c r="Q115" s="11"/>
      <c r="R115" s="218"/>
      <c r="S115" s="219" t="s">
        <v>218</v>
      </c>
      <c r="T115" s="219"/>
      <c r="U115" s="263">
        <f>SQRT(SUMPRODUCT(U112:V112,U112:V112,U111:V111)/COUNT(U112:V112))/(1-3/(4*(SUMPRODUCT(U106:V106,U111:V111)/SUM(U111:V111)-1)-1))</f>
        <v>5.7144101996314856</v>
      </c>
      <c r="V115" s="248"/>
      <c r="W115" s="9"/>
      <c r="X115" s="8"/>
      <c r="AH115" s="218"/>
      <c r="AI115" s="219" t="s">
        <v>218</v>
      </c>
      <c r="AJ115" s="219"/>
      <c r="AK115" s="263">
        <f>SQRT(SUMPRODUCT(AK112:AL112,AK112:AL112,AK111:AL111)/COUNT(AK112:AL112))/(1-3/(4*(SUMPRODUCT(AK106:AL106,AK111:AL111)/SUM(AK111:AL111)-1)-1))</f>
        <v>28.19822805838559</v>
      </c>
      <c r="AL115" s="248"/>
      <c r="AM115" s="3"/>
      <c r="AN115" s="3"/>
    </row>
    <row r="116" spans="2:47" ht="12.75">
      <c r="B116" s="218"/>
      <c r="C116" s="217" t="s">
        <v>52</v>
      </c>
      <c r="D116" s="217"/>
      <c r="E116" s="225"/>
      <c r="F116" s="225"/>
      <c r="I116" s="232"/>
      <c r="J116" s="233" t="s">
        <v>125</v>
      </c>
      <c r="K116" s="234"/>
      <c r="L116" s="234"/>
      <c r="M116" s="234"/>
      <c r="N116" s="234"/>
      <c r="O116" s="234"/>
      <c r="R116" s="218"/>
      <c r="S116" s="217" t="s">
        <v>52</v>
      </c>
      <c r="T116" s="217"/>
      <c r="U116" s="225"/>
      <c r="V116" s="225"/>
      <c r="X116" s="8"/>
      <c r="Y116" s="232"/>
      <c r="Z116" s="233" t="s">
        <v>125</v>
      </c>
      <c r="AA116" s="232"/>
      <c r="AB116" s="234"/>
      <c r="AC116" s="234"/>
      <c r="AD116" s="234"/>
      <c r="AE116" s="234"/>
      <c r="AH116" s="218"/>
      <c r="AI116" s="217" t="s">
        <v>52</v>
      </c>
      <c r="AJ116" s="217"/>
      <c r="AK116" s="225"/>
      <c r="AL116" s="225"/>
      <c r="AM116" s="2"/>
      <c r="AN116" s="2"/>
      <c r="AO116" s="232"/>
      <c r="AP116" s="233" t="s">
        <v>125</v>
      </c>
      <c r="AQ116" s="234"/>
      <c r="AR116" s="234"/>
      <c r="AS116" s="234"/>
      <c r="AT116" s="234"/>
      <c r="AU116" s="234"/>
    </row>
    <row r="117" spans="2:47" ht="12.75">
      <c r="B117" s="218"/>
      <c r="C117" s="219" t="s">
        <v>159</v>
      </c>
      <c r="D117" s="226">
        <f>D93-D62</f>
        <v>-0.4853439571741003</v>
      </c>
      <c r="E117" s="226">
        <f>E93-E62</f>
        <v>-14.284003223538889</v>
      </c>
      <c r="F117" s="226">
        <f>F93-F62</f>
        <v>-8.097857610241704</v>
      </c>
      <c r="I117" s="234"/>
      <c r="J117" s="235" t="s">
        <v>159</v>
      </c>
      <c r="K117" s="237">
        <f>K93-K62</f>
        <v>6.186145613297302</v>
      </c>
      <c r="L117" s="237">
        <f>L93-L62</f>
        <v>6.850808289652178</v>
      </c>
      <c r="M117" s="237">
        <f>M93-M62</f>
        <v>4.015769608826273</v>
      </c>
      <c r="N117" s="237">
        <f>N93-N62</f>
        <v>-2.835038680825906</v>
      </c>
      <c r="O117" s="237" t="e">
        <f>O93-O62</f>
        <v>#DIV/0!</v>
      </c>
      <c r="R117" s="218"/>
      <c r="S117" s="219" t="s">
        <v>162</v>
      </c>
      <c r="T117" s="219"/>
      <c r="U117" s="247">
        <f>U93-U62</f>
        <v>-3.59963532878362</v>
      </c>
      <c r="V117" s="247">
        <f>V93-V62</f>
        <v>-2.0420014601447747</v>
      </c>
      <c r="X117" s="8"/>
      <c r="Y117" s="242"/>
      <c r="Z117" s="235" t="s">
        <v>163</v>
      </c>
      <c r="AA117" s="242">
        <f>AA93-AA62</f>
        <v>1.5576338686389022</v>
      </c>
      <c r="AB117" s="242">
        <f>AB93-AB62</f>
        <v>1.6787950141945882</v>
      </c>
      <c r="AC117" s="242">
        <f>AC93-AC62</f>
        <v>1.0466102760652405</v>
      </c>
      <c r="AD117" s="242">
        <f>AD93-AD62</f>
        <v>-0.632184738129348</v>
      </c>
      <c r="AE117" s="242" t="e">
        <f>AE93-AE62</f>
        <v>#DIV/0!</v>
      </c>
      <c r="AH117" s="218"/>
      <c r="AI117" s="219" t="s">
        <v>165</v>
      </c>
      <c r="AJ117" s="219"/>
      <c r="AK117" s="247">
        <f>AK93-AK62</f>
        <v>-17.89308176100629</v>
      </c>
      <c r="AL117" s="247">
        <f>AL93-AL62</f>
        <v>-9.27672955974841</v>
      </c>
      <c r="AO117" s="234"/>
      <c r="AP117" s="235" t="s">
        <v>165</v>
      </c>
      <c r="AQ117" s="242">
        <f>AQ93-AQ62</f>
        <v>8.61635220125786</v>
      </c>
      <c r="AR117" s="242">
        <f>AR93-AR62</f>
        <v>6.22641509433962</v>
      </c>
      <c r="AS117" s="242">
        <f>AS93-AS62</f>
        <v>3.522012578616352</v>
      </c>
      <c r="AT117" s="242">
        <f>AT93-AT62</f>
        <v>-2.7044025157232694</v>
      </c>
      <c r="AU117" s="242" t="e">
        <f>AU93-AU62</f>
        <v>#DIV/0!</v>
      </c>
    </row>
    <row r="118" spans="2:47" ht="12.75">
      <c r="B118" s="218"/>
      <c r="C118" s="219" t="s">
        <v>161</v>
      </c>
      <c r="D118" s="226">
        <f>D117/D195</f>
        <v>-0.1423357358153996</v>
      </c>
      <c r="E118" s="226">
        <f>E117/E195</f>
        <v>-0.6564780108217646</v>
      </c>
      <c r="F118" s="226">
        <f>F117/F195</f>
        <v>-0.36439872739086077</v>
      </c>
      <c r="I118" s="232"/>
      <c r="J118" s="235" t="s">
        <v>160</v>
      </c>
      <c r="K118" s="237">
        <f>K117/K195</f>
        <v>0.2748393936911117</v>
      </c>
      <c r="L118" s="237">
        <f>L117/L195</f>
        <v>0.3043691685133887</v>
      </c>
      <c r="M118" s="237">
        <f>M117/M195</f>
        <v>0.1784134667183695</v>
      </c>
      <c r="N118" s="237">
        <f>N117/N195</f>
        <v>-0.12595570179501922</v>
      </c>
      <c r="O118" s="237" t="e">
        <f>O117/O195</f>
        <v>#DIV/0!</v>
      </c>
      <c r="R118" s="218"/>
      <c r="S118" s="219" t="s">
        <v>164</v>
      </c>
      <c r="T118" s="219"/>
      <c r="U118" s="231">
        <f>100*EXP(U117/100)-100</f>
        <v>-3.5356188744970893</v>
      </c>
      <c r="V118" s="231">
        <f>100*EXP(V117/100)-100</f>
        <v>-2.021293800092252</v>
      </c>
      <c r="X118" s="8"/>
      <c r="Y118" s="236"/>
      <c r="Z118" s="235" t="s">
        <v>164</v>
      </c>
      <c r="AA118" s="236">
        <f>100*EXP(AA117/100)-100</f>
        <v>1.5698282171475455</v>
      </c>
      <c r="AB118" s="236">
        <f>100*EXP(AB117/100)-100</f>
        <v>1.6929659670447137</v>
      </c>
      <c r="AC118" s="236">
        <f>100*EXP(AC117/100)-100</f>
        <v>1.0521063990092046</v>
      </c>
      <c r="AD118" s="236">
        <f>100*EXP(AD117/100)-100</f>
        <v>-0.6301906547235347</v>
      </c>
      <c r="AE118" s="236" t="e">
        <f>100*EXP(AE117/100)-100</f>
        <v>#DIV/0!</v>
      </c>
      <c r="AH118" s="218"/>
      <c r="AI118" s="221"/>
      <c r="AJ118" s="219"/>
      <c r="AK118" s="218"/>
      <c r="AL118" s="218"/>
      <c r="AO118" s="245"/>
      <c r="AP118" s="232"/>
      <c r="AQ118" s="244"/>
      <c r="AR118" s="244"/>
      <c r="AS118" s="244"/>
      <c r="AT118" s="244"/>
      <c r="AU118" s="244"/>
    </row>
    <row r="119" spans="2:47" ht="12.75">
      <c r="B119" s="218"/>
      <c r="C119" s="218"/>
      <c r="D119" s="218"/>
      <c r="E119" s="218"/>
      <c r="F119" s="218"/>
      <c r="I119" s="232"/>
      <c r="J119" s="232"/>
      <c r="K119" s="232"/>
      <c r="L119" s="232"/>
      <c r="M119" s="232"/>
      <c r="N119" s="232"/>
      <c r="O119" s="232"/>
      <c r="R119" s="218"/>
      <c r="S119" s="219" t="s">
        <v>222</v>
      </c>
      <c r="T119" s="219"/>
      <c r="U119" s="249">
        <f>EXP(U117/100)</f>
        <v>0.9646438112550291</v>
      </c>
      <c r="V119" s="249">
        <f>EXP(V117/100)</f>
        <v>0.9797870619990775</v>
      </c>
      <c r="X119" s="8"/>
      <c r="Y119" s="243"/>
      <c r="Z119" s="235" t="s">
        <v>222</v>
      </c>
      <c r="AA119" s="243">
        <f>EXP(AA117/100)</f>
        <v>1.0156982821714755</v>
      </c>
      <c r="AB119" s="243">
        <f>EXP(AB117/100)</f>
        <v>1.0169296596704471</v>
      </c>
      <c r="AC119" s="243">
        <f>EXP(AC117/100)</f>
        <v>1.0105210639900921</v>
      </c>
      <c r="AD119" s="243">
        <f>EXP(AD117/100)</f>
        <v>0.9936980934527647</v>
      </c>
      <c r="AE119" s="243" t="e">
        <f>EXP(AE117/100)</f>
        <v>#DIV/0!</v>
      </c>
      <c r="AH119" s="218"/>
      <c r="AI119" s="219" t="s">
        <v>160</v>
      </c>
      <c r="AJ119" s="219"/>
      <c r="AK119" s="226">
        <f>AK117/AK195</f>
        <v>-0.6528393424530624</v>
      </c>
      <c r="AL119" s="226">
        <f>AL117/AL195</f>
        <v>-0.33363112638301873</v>
      </c>
      <c r="AO119" s="232"/>
      <c r="AP119" s="235" t="s">
        <v>160</v>
      </c>
      <c r="AQ119" s="237">
        <f>AQ117/AQ195</f>
        <v>0.30556360433064617</v>
      </c>
      <c r="AR119" s="237">
        <f>AR117/AR195</f>
        <v>0.22080873597616033</v>
      </c>
      <c r="AS119" s="237">
        <f>AS117/AS195</f>
        <v>0.12490191125924224</v>
      </c>
      <c r="AT119" s="237">
        <f>AT117/AT195</f>
        <v>-0.09590682471691812</v>
      </c>
      <c r="AU119" s="237" t="e">
        <f>AU117/AU195</f>
        <v>#DIV/0!</v>
      </c>
    </row>
    <row r="120" spans="2:47" ht="12.75">
      <c r="B120" s="218"/>
      <c r="C120" s="218"/>
      <c r="D120" s="218"/>
      <c r="E120" s="218"/>
      <c r="F120" s="218"/>
      <c r="I120" s="232"/>
      <c r="J120" s="232"/>
      <c r="K120" s="232"/>
      <c r="L120" s="232"/>
      <c r="M120" s="232"/>
      <c r="N120" s="232"/>
      <c r="O120" s="232"/>
      <c r="R120" s="218"/>
      <c r="S120" s="219" t="s">
        <v>160</v>
      </c>
      <c r="T120" s="219"/>
      <c r="U120" s="226">
        <f>U117/U195</f>
        <v>-0.6487140731153032</v>
      </c>
      <c r="V120" s="226">
        <f>V117/V195</f>
        <v>-0.36308619291762195</v>
      </c>
      <c r="X120" s="8"/>
      <c r="Y120" s="237"/>
      <c r="Z120" s="235" t="s">
        <v>160</v>
      </c>
      <c r="AA120" s="237">
        <f>AA117/AA195</f>
        <v>0.27257998887432894</v>
      </c>
      <c r="AB120" s="237">
        <f>AB117/AB195</f>
        <v>0.2937827274462816</v>
      </c>
      <c r="AC120" s="237">
        <f>AC117/AC195</f>
        <v>0.18315280833929895</v>
      </c>
      <c r="AD120" s="237">
        <f>AD117/AD195</f>
        <v>-0.11062991910698267</v>
      </c>
      <c r="AE120" s="237" t="e">
        <f>AE117/AE195</f>
        <v>#DIV/0!</v>
      </c>
      <c r="AH120" s="218"/>
      <c r="AI120" s="219"/>
      <c r="AJ120" s="219"/>
      <c r="AK120" s="226"/>
      <c r="AL120" s="226"/>
      <c r="AO120" s="232"/>
      <c r="AP120" s="235"/>
      <c r="AQ120" s="237"/>
      <c r="AR120" s="237"/>
      <c r="AS120" s="237"/>
      <c r="AT120" s="237"/>
      <c r="AU120" s="237"/>
    </row>
    <row r="121" spans="2:47" ht="12.75">
      <c r="B121" s="218"/>
      <c r="C121" s="219"/>
      <c r="D121" s="227"/>
      <c r="E121" s="227"/>
      <c r="F121" s="227"/>
      <c r="I121" s="232"/>
      <c r="J121" s="235"/>
      <c r="K121" s="238"/>
      <c r="L121" s="238"/>
      <c r="M121" s="238"/>
      <c r="N121" s="238"/>
      <c r="O121" s="238"/>
      <c r="R121" s="218"/>
      <c r="S121" s="219"/>
      <c r="T121" s="219"/>
      <c r="U121" s="227"/>
      <c r="V121" s="227"/>
      <c r="Y121" s="238"/>
      <c r="Z121" s="235"/>
      <c r="AA121" s="238"/>
      <c r="AB121" s="238"/>
      <c r="AC121" s="238"/>
      <c r="AD121" s="238"/>
      <c r="AE121" s="238"/>
      <c r="AH121" s="218"/>
      <c r="AI121" s="219"/>
      <c r="AJ121" s="219"/>
      <c r="AK121" s="227"/>
      <c r="AL121" s="227"/>
      <c r="AO121" s="232"/>
      <c r="AP121" s="235"/>
      <c r="AQ121" s="238"/>
      <c r="AR121" s="238"/>
      <c r="AS121" s="238"/>
      <c r="AT121" s="238"/>
      <c r="AU121" s="238"/>
    </row>
    <row r="122" spans="2:47" s="116" customFormat="1" ht="12.75">
      <c r="B122" s="218"/>
      <c r="C122" s="219" t="s">
        <v>124</v>
      </c>
      <c r="D122" s="228">
        <f>(D64^2+D95^2)^2/(D64^4/D65+D95^4/D96)</f>
        <v>36.522390431992946</v>
      </c>
      <c r="E122" s="228">
        <f>(E64^2+E95^2)^2/(E64^4/E65+E95^4/E96)</f>
        <v>37.88204484418686</v>
      </c>
      <c r="F122" s="228">
        <f>(F64^2+F95^2)^2/(F64^4/F65+F95^4/F96)</f>
        <v>37.85569661783449</v>
      </c>
      <c r="I122" s="232"/>
      <c r="J122" s="235" t="s">
        <v>124</v>
      </c>
      <c r="K122" s="239">
        <f>(K64^2+K95^2)^2/(K64^4/K65+K95^4/K96)</f>
        <v>37.3534229306513</v>
      </c>
      <c r="L122" s="239">
        <f>(L64^2+L95^2)^2/(L64^4/L65+L95^4/L96)</f>
        <v>35.270771079252434</v>
      </c>
      <c r="M122" s="239">
        <f>(M64^2+M95^2)^2/(M64^4/M65+M95^4/M96)</f>
        <v>28.458687065635782</v>
      </c>
      <c r="N122" s="239">
        <f>(N64^2+N95^2)^2/(N64^4/N65+N95^4/N96)</f>
        <v>35.83144114228867</v>
      </c>
      <c r="O122" s="239" t="e">
        <f>(O64^2+O95^2)^2/(O64^4/O65+O95^4/O96)</f>
        <v>#DIV/0!</v>
      </c>
      <c r="R122" s="218"/>
      <c r="S122" s="219" t="s">
        <v>124</v>
      </c>
      <c r="T122" s="219"/>
      <c r="U122" s="228">
        <f>(U64^2+U95^2)^2/(U64^4/U65+U95^4/U96)</f>
        <v>37.99977430695131</v>
      </c>
      <c r="V122" s="228">
        <f>(V64^2+V95^2)^2/(V64^4/V65+V95^4/V96)</f>
        <v>37.606313604722494</v>
      </c>
      <c r="Y122" s="239"/>
      <c r="Z122" s="235" t="s">
        <v>124</v>
      </c>
      <c r="AA122" s="239">
        <f>(AA64^2+AA95^2)^2/(AA64^4/AA65+AA95^4/AA96)</f>
        <v>37.07934305852209</v>
      </c>
      <c r="AB122" s="239">
        <f>(AB64^2+AB95^2)^2/(AB64^4/AB65+AB95^4/AB96)</f>
        <v>35.81343177081094</v>
      </c>
      <c r="AC122" s="239">
        <f>(AC64^2+AC95^2)^2/(AC64^4/AC65+AC95^4/AC96)</f>
        <v>27.923429077369057</v>
      </c>
      <c r="AD122" s="239">
        <f>(AD64^2+AD95^2)^2/(AD64^4/AD65+AD95^4/AD96)</f>
        <v>35.673927338573336</v>
      </c>
      <c r="AE122" s="239" t="e">
        <f>(AE64^2+AE95^2)^2/(AE64^4/AE65+AE95^4/AE96)</f>
        <v>#DIV/0!</v>
      </c>
      <c r="AH122" s="218"/>
      <c r="AI122" s="219" t="s">
        <v>124</v>
      </c>
      <c r="AJ122" s="219"/>
      <c r="AK122" s="228">
        <f>(AK64^2+AK95^2)^2/(AK64^4/AK65+AK95^4/AK96)</f>
        <v>36.104930871492016</v>
      </c>
      <c r="AL122" s="228">
        <f>(AL64^2+AL95^2)^2/(AL64^4/AL65+AL95^4/AL96)</f>
        <v>37.79355930033655</v>
      </c>
      <c r="AO122" s="232"/>
      <c r="AP122" s="235" t="s">
        <v>124</v>
      </c>
      <c r="AQ122" s="239">
        <f>(AQ64^2+AQ95^2)^2/(AQ64^4/AQ65+AQ95^4/AQ96)</f>
        <v>37.81475814994696</v>
      </c>
      <c r="AR122" s="239">
        <f>(AR64^2+AR95^2)^2/(AR64^4/AR65+AR95^4/AR96)</f>
        <v>35.524762894003075</v>
      </c>
      <c r="AS122" s="239">
        <f>(AS64^2+AS95^2)^2/(AS64^4/AS65+AS95^4/AS96)</f>
        <v>28.56568413157734</v>
      </c>
      <c r="AT122" s="239">
        <f>(AT64^2+AT95^2)^2/(AT64^4/AT65+AT95^4/AT96)</f>
        <v>36.55974852738329</v>
      </c>
      <c r="AU122" s="239" t="e">
        <f>(AU64^2+AU95^2)^2/(AU64^4/AU65+AU95^4/AU96)</f>
        <v>#DIV/0!</v>
      </c>
    </row>
    <row r="123" spans="2:47" s="116" customFormat="1" ht="12.75">
      <c r="B123" s="218"/>
      <c r="C123" s="229" t="s">
        <v>70</v>
      </c>
      <c r="D123" s="230">
        <f>SQRT(D64^2+D95^2)</f>
        <v>1.055994562154349</v>
      </c>
      <c r="E123" s="230">
        <f>SQRT(E64^2+E95^2)</f>
        <v>6.74352434680265</v>
      </c>
      <c r="F123" s="230">
        <f>SQRT(F64^2+F95^2)</f>
        <v>6.887224990583095</v>
      </c>
      <c r="I123" s="232"/>
      <c r="J123" s="240" t="s">
        <v>70</v>
      </c>
      <c r="K123" s="301">
        <f>SQRT(K64^2+K95^2)</f>
        <v>4.160725772469081</v>
      </c>
      <c r="L123" s="301">
        <f>SQRT(L64^2+L95^2)</f>
        <v>4.250812489936249</v>
      </c>
      <c r="M123" s="301">
        <f>SQRT(M64^2+M95^2)</f>
        <v>4.555046462494067</v>
      </c>
      <c r="N123" s="301">
        <f>SQRT(N64^2+N95^2)</f>
        <v>4.8771972515726265</v>
      </c>
      <c r="O123" s="241" t="e">
        <f>SQRT(O64^2+O95^2)</f>
        <v>#DIV/0!</v>
      </c>
      <c r="R123" s="218"/>
      <c r="S123" s="229" t="s">
        <v>70</v>
      </c>
      <c r="T123" s="229"/>
      <c r="U123" s="230">
        <f>SQRT(U64^2+U95^2)</f>
        <v>1.7198473496739821</v>
      </c>
      <c r="V123" s="230">
        <f>SQRT(V64^2+V95^2)</f>
        <v>1.7427628648816829</v>
      </c>
      <c r="Y123" s="232"/>
      <c r="Z123" s="240" t="s">
        <v>70</v>
      </c>
      <c r="AA123" s="241">
        <f>SQRT(AA64^2+AA95^2)</f>
        <v>1.0392258793209916</v>
      </c>
      <c r="AB123" s="241">
        <f>SQRT(AB64^2+AB95^2)</f>
        <v>1.043620404405278</v>
      </c>
      <c r="AC123" s="241">
        <f>SQRT(AC64^2+AC95^2)</f>
        <v>1.1326798150634996</v>
      </c>
      <c r="AD123" s="241">
        <f>SQRT(AD64^2+AD95^2)</f>
        <v>1.2001433193677702</v>
      </c>
      <c r="AE123" s="241" t="e">
        <f>SQRT(AE64^2+AE95^2)</f>
        <v>#DIV/0!</v>
      </c>
      <c r="AH123" s="218"/>
      <c r="AI123" s="229" t="s">
        <v>70</v>
      </c>
      <c r="AJ123" s="229"/>
      <c r="AK123" s="230">
        <f>SQRT(AK64^2+AK95^2)</f>
        <v>8.485902945468446</v>
      </c>
      <c r="AL123" s="230">
        <f>SQRT(AL64^2+AL95^2)</f>
        <v>8.617170642273793</v>
      </c>
      <c r="AO123" s="232"/>
      <c r="AP123" s="240" t="s">
        <v>70</v>
      </c>
      <c r="AQ123" s="241">
        <f>SQRT(AQ64^2+AQ95^2)</f>
        <v>6.039063216113788</v>
      </c>
      <c r="AR123" s="241">
        <f>SQRT(AR64^2+AR95^2)</f>
        <v>5.796687104126645</v>
      </c>
      <c r="AS123" s="241">
        <f>SQRT(AS64^2+AS95^2)</f>
        <v>5.789068179871686</v>
      </c>
      <c r="AT123" s="241">
        <f>SQRT(AT64^2+AT95^2)</f>
        <v>6.4746764130296635</v>
      </c>
      <c r="AU123" s="241" t="e">
        <f>SQRT(AU64^2+AU95^2)</f>
        <v>#DIV/0!</v>
      </c>
    </row>
    <row r="124" s="116" customFormat="1" ht="12.75"/>
    <row r="125" spans="2:41" ht="12.75">
      <c r="B125" s="116" t="s">
        <v>4</v>
      </c>
      <c r="D125" s="116" t="str">
        <f>CONCATENATE($B$73,"-",$B$42," difference")</f>
        <v>Exptal-Control difference</v>
      </c>
      <c r="I125" s="116" t="s">
        <v>4</v>
      </c>
      <c r="K125" s="116" t="str">
        <f>CONCATENATE($B$73,"-",$B$42," difference")</f>
        <v>Exptal-Control difference</v>
      </c>
      <c r="R125" s="116" t="s">
        <v>5</v>
      </c>
      <c r="U125" s="116" t="str">
        <f>CONCATENATE($B$73,"-",$B$42," difference")</f>
        <v>Exptal-Control difference</v>
      </c>
      <c r="V125" s="116"/>
      <c r="Y125" s="116" t="s">
        <v>5</v>
      </c>
      <c r="Z125" s="8"/>
      <c r="AA125" s="116" t="str">
        <f>CONCATENATE($B$73,"-",$B$42," difference")</f>
        <v>Exptal-Control difference</v>
      </c>
      <c r="AB125" s="1"/>
      <c r="AC125" s="1"/>
      <c r="AD125" s="1"/>
      <c r="AE125" s="1"/>
      <c r="AH125" s="116" t="s">
        <v>50</v>
      </c>
      <c r="AO125" s="116" t="s">
        <v>50</v>
      </c>
    </row>
    <row r="126" spans="2:47" s="120" customFormat="1" ht="30" customHeight="1">
      <c r="B126" s="425" t="s">
        <v>45</v>
      </c>
      <c r="C126" s="426"/>
      <c r="D126" s="125" t="str">
        <f>D41</f>
        <v>X</v>
      </c>
      <c r="E126" s="125" t="str">
        <f>E41</f>
        <v>Pre1</v>
      </c>
      <c r="F126" s="125" t="str">
        <f>F41</f>
        <v>Pre2</v>
      </c>
      <c r="I126" s="379" t="s">
        <v>16</v>
      </c>
      <c r="J126" s="380"/>
      <c r="K126" s="125" t="str">
        <f>K41</f>
        <v>Pre2-Pre1</v>
      </c>
      <c r="L126" s="125" t="str">
        <f>L41</f>
        <v>Post1-Pre2</v>
      </c>
      <c r="M126" s="125" t="str">
        <f>M41</f>
        <v>Post2-Pre2</v>
      </c>
      <c r="N126" s="125" t="str">
        <f>N41</f>
        <v>Post2-Post1</v>
      </c>
      <c r="O126" s="125" t="str">
        <f>O41</f>
        <v>other effect</v>
      </c>
      <c r="R126" s="425" t="s">
        <v>130</v>
      </c>
      <c r="S126" s="426"/>
      <c r="T126" s="206"/>
      <c r="U126" s="125" t="str">
        <f>U41</f>
        <v>Pre1</v>
      </c>
      <c r="V126" s="125" t="str">
        <f>V41</f>
        <v>Pre2</v>
      </c>
      <c r="Y126" s="379" t="s">
        <v>18</v>
      </c>
      <c r="Z126" s="380"/>
      <c r="AA126" s="125" t="str">
        <f>AA41</f>
        <v>Pre2-Pre1</v>
      </c>
      <c r="AB126" s="125" t="str">
        <f>AB41</f>
        <v>Post1-Pre2</v>
      </c>
      <c r="AC126" s="125" t="str">
        <f>AC41</f>
        <v>Post2-Pre2</v>
      </c>
      <c r="AD126" s="125" t="str">
        <f>AD41</f>
        <v>Post2-Post1</v>
      </c>
      <c r="AE126" s="125" t="str">
        <f>AE41</f>
        <v>other effect</v>
      </c>
      <c r="AH126" s="425" t="s">
        <v>214</v>
      </c>
      <c r="AI126" s="426"/>
      <c r="AJ126" s="207"/>
      <c r="AK126" s="251"/>
      <c r="AL126" s="251"/>
      <c r="AO126" s="379" t="s">
        <v>48</v>
      </c>
      <c r="AP126" s="380"/>
      <c r="AQ126" s="252"/>
      <c r="AR126" s="252"/>
      <c r="AS126" s="252"/>
      <c r="AT126" s="252"/>
      <c r="AU126" s="252"/>
    </row>
    <row r="127" spans="1:36" s="349" customFormat="1" ht="12.75">
      <c r="A127" s="55"/>
      <c r="B127" s="346"/>
      <c r="C127" s="347" t="s">
        <v>142</v>
      </c>
      <c r="D127" s="348">
        <f>$E$35</f>
        <v>90</v>
      </c>
      <c r="E127" s="348">
        <f>$E$35</f>
        <v>90</v>
      </c>
      <c r="F127" s="348">
        <f>$E$35</f>
        <v>90</v>
      </c>
      <c r="I127" s="350"/>
      <c r="J127" s="347" t="s">
        <v>142</v>
      </c>
      <c r="K127" s="348">
        <f>$E$35</f>
        <v>90</v>
      </c>
      <c r="L127" s="348">
        <f>$E$35</f>
        <v>90</v>
      </c>
      <c r="M127" s="348">
        <f>$E$35</f>
        <v>90</v>
      </c>
      <c r="N127" s="348">
        <f>$E$35</f>
        <v>90</v>
      </c>
      <c r="O127" s="348">
        <f>$E$35</f>
        <v>90</v>
      </c>
      <c r="R127" s="350"/>
      <c r="S127" s="347" t="s">
        <v>142</v>
      </c>
      <c r="T127" s="351"/>
      <c r="U127" s="348">
        <f>$E$35</f>
        <v>90</v>
      </c>
      <c r="V127" s="348">
        <f>$E$35</f>
        <v>90</v>
      </c>
      <c r="Y127" s="350"/>
      <c r="Z127" s="347" t="s">
        <v>142</v>
      </c>
      <c r="AA127" s="348">
        <f>$E$35</f>
        <v>90</v>
      </c>
      <c r="AB127" s="348">
        <f>$E$35</f>
        <v>90</v>
      </c>
      <c r="AC127" s="348">
        <f>$E$35</f>
        <v>90</v>
      </c>
      <c r="AD127" s="348">
        <f>$E$35</f>
        <v>90</v>
      </c>
      <c r="AE127" s="348">
        <f>$E$35</f>
        <v>90</v>
      </c>
      <c r="AJ127" s="352"/>
    </row>
    <row r="128" spans="2:36" ht="12.75">
      <c r="B128" s="22"/>
      <c r="C128" s="25" t="s">
        <v>141</v>
      </c>
      <c r="D128" s="20">
        <f>D122</f>
        <v>36.522390431992946</v>
      </c>
      <c r="E128" s="20">
        <f>E122</f>
        <v>37.88204484418686</v>
      </c>
      <c r="F128" s="20">
        <f>F122</f>
        <v>37.85569661783449</v>
      </c>
      <c r="I128" s="22"/>
      <c r="J128" s="25" t="s">
        <v>141</v>
      </c>
      <c r="K128" s="28">
        <f>K122</f>
        <v>37.3534229306513</v>
      </c>
      <c r="L128" s="33">
        <f>L122</f>
        <v>35.270771079252434</v>
      </c>
      <c r="M128" s="33">
        <f>M122</f>
        <v>28.458687065635782</v>
      </c>
      <c r="N128" s="33">
        <f>N122</f>
        <v>35.83144114228867</v>
      </c>
      <c r="O128" s="33" t="e">
        <f>O122</f>
        <v>#DIV/0!</v>
      </c>
      <c r="R128" s="22"/>
      <c r="S128" s="25" t="s">
        <v>141</v>
      </c>
      <c r="T128" s="174"/>
      <c r="U128" s="20">
        <f>U122</f>
        <v>37.99977430695131</v>
      </c>
      <c r="V128" s="20">
        <f>V122</f>
        <v>37.606313604722494</v>
      </c>
      <c r="W128" s="30"/>
      <c r="Y128" s="22"/>
      <c r="Z128" s="25" t="s">
        <v>141</v>
      </c>
      <c r="AA128" s="28">
        <f>AA122</f>
        <v>37.07934305852209</v>
      </c>
      <c r="AB128" s="33">
        <f>AB122</f>
        <v>35.81343177081094</v>
      </c>
      <c r="AC128" s="33">
        <f>AC122</f>
        <v>27.923429077369057</v>
      </c>
      <c r="AD128" s="33">
        <f>AD122</f>
        <v>35.673927338573336</v>
      </c>
      <c r="AE128" s="33" t="e">
        <f>AE122</f>
        <v>#DIV/0!</v>
      </c>
      <c r="AJ128" s="188"/>
    </row>
    <row r="129" spans="2:36" ht="12.75">
      <c r="B129" s="22"/>
      <c r="C129" s="31" t="s">
        <v>140</v>
      </c>
      <c r="D129" s="17">
        <f>D117</f>
        <v>-0.4853439571741003</v>
      </c>
      <c r="E129" s="17">
        <f>E117</f>
        <v>-14.284003223538889</v>
      </c>
      <c r="F129" s="17">
        <f>F117</f>
        <v>-8.097857610241704</v>
      </c>
      <c r="I129" s="22"/>
      <c r="J129" s="31" t="s">
        <v>140</v>
      </c>
      <c r="K129" s="17">
        <f>K117</f>
        <v>6.186145613297302</v>
      </c>
      <c r="L129" s="17">
        <f>L117</f>
        <v>6.850808289652178</v>
      </c>
      <c r="M129" s="17">
        <f>M117</f>
        <v>4.015769608826273</v>
      </c>
      <c r="N129" s="17">
        <f>N117</f>
        <v>-2.835038680825906</v>
      </c>
      <c r="O129" s="17" t="e">
        <f>O117</f>
        <v>#DIV/0!</v>
      </c>
      <c r="R129" s="22"/>
      <c r="S129" s="31" t="s">
        <v>145</v>
      </c>
      <c r="T129" s="31"/>
      <c r="U129" s="17">
        <f aca="true" t="shared" si="61" ref="U129:V131">100*EXP(U245/100)-100</f>
        <v>-3.5356188744970893</v>
      </c>
      <c r="V129" s="17">
        <f t="shared" si="61"/>
        <v>-2.021293800092252</v>
      </c>
      <c r="W129" s="30"/>
      <c r="Y129" s="22"/>
      <c r="Z129" s="31" t="s">
        <v>145</v>
      </c>
      <c r="AA129" s="17">
        <f aca="true" t="shared" si="62" ref="AA129:AE131">100*EXP(AA245/100)-100</f>
        <v>1.5698282171475455</v>
      </c>
      <c r="AB129" s="17">
        <f t="shared" si="62"/>
        <v>1.6929659670447137</v>
      </c>
      <c r="AC129" s="17">
        <f t="shared" si="62"/>
        <v>1.0521063990092046</v>
      </c>
      <c r="AD129" s="17">
        <f t="shared" si="62"/>
        <v>-0.6301906547235347</v>
      </c>
      <c r="AE129" s="17" t="e">
        <f t="shared" si="62"/>
        <v>#DIV/0!</v>
      </c>
      <c r="AJ129" s="94"/>
    </row>
    <row r="130" spans="2:36" s="53" customFormat="1" ht="12.75" customHeight="1">
      <c r="B130" s="387" t="s">
        <v>137</v>
      </c>
      <c r="C130" s="23" t="s">
        <v>9</v>
      </c>
      <c r="D130" s="60">
        <f>D129-TINV((100-D127)/100,D128)*D123</f>
        <v>-2.268177162579077</v>
      </c>
      <c r="E130" s="60">
        <f>E129-TINV((100-E127)/100,E128)*E123</f>
        <v>-25.660960122621695</v>
      </c>
      <c r="F130" s="60">
        <f>F129-TINV((100-F127)/100,F128)*F123</f>
        <v>-19.717250948578375</v>
      </c>
      <c r="I130" s="387" t="s">
        <v>137</v>
      </c>
      <c r="J130" s="23" t="s">
        <v>9</v>
      </c>
      <c r="K130" s="60">
        <f>K129-TINV((100-K127)/100,K128)*K123</f>
        <v>-0.8333882903250176</v>
      </c>
      <c r="L130" s="60">
        <f>L129-TINV((100-L127)/100,L128)*L123</f>
        <v>-0.3312474165324568</v>
      </c>
      <c r="M130" s="60">
        <f>M129-TINV((100-M127)/100,M128)*M123</f>
        <v>-3.7329608355409913</v>
      </c>
      <c r="N130" s="60">
        <f>N129-TINV((100-N127)/100,N128)*N123</f>
        <v>-11.07541682824462</v>
      </c>
      <c r="O130" s="60" t="e">
        <f>O129-TINV((100-O127)/100,O128)*O123</f>
        <v>#DIV/0!</v>
      </c>
      <c r="R130" s="427" t="s">
        <v>143</v>
      </c>
      <c r="S130" s="23" t="s">
        <v>9</v>
      </c>
      <c r="T130" s="23"/>
      <c r="U130" s="60">
        <f t="shared" si="61"/>
        <v>-6.294358288770937</v>
      </c>
      <c r="V130" s="60">
        <f t="shared" si="61"/>
        <v>-4.860129458394454</v>
      </c>
      <c r="W130" s="54"/>
      <c r="Y130" s="427" t="s">
        <v>143</v>
      </c>
      <c r="Z130" s="23" t="s">
        <v>9</v>
      </c>
      <c r="AA130" s="60">
        <f t="shared" si="62"/>
        <v>-0.19544623629788305</v>
      </c>
      <c r="AB130" s="60">
        <f t="shared" si="62"/>
        <v>-0.08444160545964507</v>
      </c>
      <c r="AC130" s="60">
        <f t="shared" si="62"/>
        <v>-0.8787860688507152</v>
      </c>
      <c r="AD130" s="60">
        <f t="shared" si="62"/>
        <v>-2.624849707612867</v>
      </c>
      <c r="AE130" s="60" t="e">
        <f t="shared" si="62"/>
        <v>#DIV/0!</v>
      </c>
      <c r="AJ130" s="90"/>
    </row>
    <row r="131" spans="2:36" s="53" customFormat="1" ht="12.75" customHeight="1">
      <c r="B131" s="388"/>
      <c r="C131" s="12" t="s">
        <v>10</v>
      </c>
      <c r="D131" s="64">
        <f>D129+TINV((100-D127)/100,D128)*D123</f>
        <v>1.2974892482308762</v>
      </c>
      <c r="E131" s="64">
        <f>E129+TINV((100-E127)/100,E128)*E123</f>
        <v>-2.9070463244560827</v>
      </c>
      <c r="F131" s="64">
        <f>F129+TINV((100-F127)/100,F128)*F123</f>
        <v>3.5215357280949693</v>
      </c>
      <c r="I131" s="388"/>
      <c r="J131" s="12" t="s">
        <v>10</v>
      </c>
      <c r="K131" s="64">
        <f>K129+TINV((100-K127)/100,K128)*K123</f>
        <v>13.20567951691962</v>
      </c>
      <c r="L131" s="64">
        <f>L129+TINV((100-L127)/100,L128)*L123</f>
        <v>14.032863995836813</v>
      </c>
      <c r="M131" s="64">
        <f>M129+TINV((100-M127)/100,M128)*M123</f>
        <v>11.764500053193537</v>
      </c>
      <c r="N131" s="64">
        <f>N129+TINV((100-N127)/100,N128)*N123</f>
        <v>5.405339466592809</v>
      </c>
      <c r="O131" s="64" t="e">
        <f>O129+TINV((100-O127)/100,O128)*O123</f>
        <v>#DIV/0!</v>
      </c>
      <c r="R131" s="428"/>
      <c r="S131" s="12" t="s">
        <v>10</v>
      </c>
      <c r="T131" s="12"/>
      <c r="U131" s="64">
        <f t="shared" si="61"/>
        <v>-0.6956608375567157</v>
      </c>
      <c r="V131" s="64">
        <f t="shared" si="61"/>
        <v>0.9022485941869007</v>
      </c>
      <c r="W131" s="71"/>
      <c r="Y131" s="428"/>
      <c r="Z131" s="12" t="s">
        <v>10</v>
      </c>
      <c r="AA131" s="64">
        <f t="shared" si="62"/>
        <v>3.3663256336590166</v>
      </c>
      <c r="AB131" s="64">
        <f t="shared" si="62"/>
        <v>3.501992015485712</v>
      </c>
      <c r="AC131" s="64">
        <f t="shared" si="62"/>
        <v>3.0206128707192903</v>
      </c>
      <c r="AD131" s="64">
        <f t="shared" si="62"/>
        <v>1.4053275365119475</v>
      </c>
      <c r="AE131" s="64" t="e">
        <f t="shared" si="62"/>
        <v>#DIV/0!</v>
      </c>
      <c r="AJ131" s="90"/>
    </row>
    <row r="132" spans="2:36" s="53" customFormat="1" ht="12.75">
      <c r="B132" s="389"/>
      <c r="C132" s="13" t="s">
        <v>11</v>
      </c>
      <c r="D132" s="67">
        <f>(D131-D130)/2</f>
        <v>1.7828332054049767</v>
      </c>
      <c r="E132" s="67">
        <f>(E131-E130)/2</f>
        <v>11.376956899082806</v>
      </c>
      <c r="F132" s="67">
        <f>(F131-F130)/2</f>
        <v>11.619393338336671</v>
      </c>
      <c r="I132" s="389"/>
      <c r="J132" s="13" t="s">
        <v>11</v>
      </c>
      <c r="K132" s="67">
        <f>(K131-K130)/2</f>
        <v>7.019533903622319</v>
      </c>
      <c r="L132" s="67">
        <f>(L131-L130)/2</f>
        <v>7.182055706184634</v>
      </c>
      <c r="M132" s="67">
        <f>(M131-M130)/2</f>
        <v>7.748730444367264</v>
      </c>
      <c r="N132" s="67">
        <f>(N131-N130)/2</f>
        <v>8.240378147418715</v>
      </c>
      <c r="O132" s="67" t="e">
        <f>(O131-O130)/2</f>
        <v>#DIV/0!</v>
      </c>
      <c r="R132" s="72"/>
      <c r="S132" s="13" t="s">
        <v>68</v>
      </c>
      <c r="T132" s="13"/>
      <c r="U132" s="59">
        <f>(U131-U130)/2</f>
        <v>2.7993487256071106</v>
      </c>
      <c r="V132" s="59">
        <f>(V131-V130)/2</f>
        <v>2.881189026290677</v>
      </c>
      <c r="W132" s="71"/>
      <c r="Y132" s="72"/>
      <c r="Z132" s="13" t="s">
        <v>68</v>
      </c>
      <c r="AA132" s="59">
        <f>(AA131-AA130)/2</f>
        <v>1.7808859349784498</v>
      </c>
      <c r="AB132" s="59">
        <f>(AB131-AB130)/2</f>
        <v>1.7932168104726784</v>
      </c>
      <c r="AC132" s="59">
        <f>(AC131-AC130)/2</f>
        <v>1.9496994697850027</v>
      </c>
      <c r="AD132" s="59">
        <f>(AD131-AD130)/2</f>
        <v>2.0150886220624074</v>
      </c>
      <c r="AE132" s="59" t="e">
        <f>(AE131-AE130)/2</f>
        <v>#DIV/0!</v>
      </c>
      <c r="AJ132" s="115"/>
    </row>
    <row r="133" spans="2:36" s="53" customFormat="1" ht="12.75" customHeight="1">
      <c r="B133" s="371" t="s">
        <v>189</v>
      </c>
      <c r="C133" s="306" t="str">
        <f>"+ive or "&amp;IF($C$27&gt;0,"harmful","beneficial")</f>
        <v>+ive or beneficial</v>
      </c>
      <c r="D133" s="260" t="s">
        <v>223</v>
      </c>
      <c r="E133" s="260">
        <f>IF(ISBLANK($C$27),"",MAX($C$27,$D$27))</f>
      </c>
      <c r="F133" s="260">
        <f>IF(ISBLANK($C$27),"",MAX($C$27,$D$27))</f>
      </c>
      <c r="I133" s="371" t="s">
        <v>189</v>
      </c>
      <c r="J133" s="306" t="str">
        <f>"+ive or "&amp;IF($C$27&gt;0,"harmful","beneficial")</f>
        <v>+ive or beneficial</v>
      </c>
      <c r="K133" s="260">
        <f>IF(ISBLANK($C$27),"",MAX($C$27,$D$27))</f>
      </c>
      <c r="L133" s="260">
        <f>IF(ISBLANK($C$27),"",MAX($C$27,$D$27))</f>
      </c>
      <c r="M133" s="260">
        <f>IF(ISBLANK($C$27),"",MAX($C$27,$D$27))</f>
      </c>
      <c r="N133" s="260">
        <f>IF(ISBLANK($C$27),"",MAX($C$27,$D$27))</f>
      </c>
      <c r="O133" s="260">
        <f>IF(ISBLANK($C$27),"",MAX($C$27,$D$27))</f>
      </c>
      <c r="R133" s="371" t="s">
        <v>189</v>
      </c>
      <c r="S133" s="306" t="str">
        <f>"+ive or "&amp;IF($C$28&gt;0,"harmful","beneficial")</f>
        <v>+ive or beneficial</v>
      </c>
      <c r="T133" s="68"/>
      <c r="U133" s="259">
        <f>IF(ISBLANK($C$28),"",MAX($C$28,$D$28))</f>
      </c>
      <c r="V133" s="259">
        <f>IF(ISBLANK($C$28),"",MAX($C$28,$D$28))</f>
      </c>
      <c r="W133" s="54"/>
      <c r="Y133" s="371" t="s">
        <v>189</v>
      </c>
      <c r="Z133" s="306" t="str">
        <f>"+ive or "&amp;IF($C$28&gt;0,"harmful","beneficial")</f>
        <v>+ive or beneficial</v>
      </c>
      <c r="AA133" s="259">
        <f>IF(ISBLANK($C$28),"",MAX($C$28,$D$28))</f>
      </c>
      <c r="AB133" s="259">
        <f>IF(ISBLANK($C$28),"",MAX($C$28,$D$28))</f>
      </c>
      <c r="AC133" s="259">
        <f>IF(ISBLANK($C$28),"",MAX($C$28,$D$28))</f>
      </c>
      <c r="AD133" s="259">
        <f>IF(ISBLANK($C$28),"",MAX($C$28,$D$28))</f>
      </c>
      <c r="AE133" s="259">
        <f>IF(ISBLANK($C$28),"",MAX($C$28,$D$28))</f>
      </c>
      <c r="AJ133" s="189"/>
    </row>
    <row r="134" spans="2:36" s="53" customFormat="1" ht="12.75" customHeight="1">
      <c r="B134" s="372"/>
      <c r="C134" s="307" t="str">
        <f>"-ive or "&amp;IF($C$27&lt;0,"harmful","beneficial")</f>
        <v>-ive or beneficial</v>
      </c>
      <c r="D134" s="338" t="s">
        <v>208</v>
      </c>
      <c r="E134" s="260">
        <f>IF(ISBLANK($C$27),"",MIN($C$27,$D$27))</f>
      </c>
      <c r="F134" s="260">
        <f>IF(ISBLANK($C$27),"",MIN($C$27,$D$27))</f>
      </c>
      <c r="G134" s="47"/>
      <c r="H134" s="24"/>
      <c r="I134" s="372"/>
      <c r="J134" s="307" t="str">
        <f>"-ive or "&amp;IF($C$27&lt;0,"harmful","beneficial")</f>
        <v>-ive or beneficial</v>
      </c>
      <c r="K134" s="260">
        <f>IF(ISBLANK($C$27),"",MIN($C$27,$D$27))</f>
      </c>
      <c r="L134" s="260">
        <f>IF(ISBLANK($C$27),"",MIN($C$27,$D$27))</f>
      </c>
      <c r="M134" s="260">
        <f>IF(ISBLANK($C$27),"",MIN($C$27,$D$27))</f>
      </c>
      <c r="N134" s="260">
        <f>IF(ISBLANK($C$27),"",MIN($C$27,$D$27))</f>
      </c>
      <c r="O134" s="260">
        <f>IF(ISBLANK($C$27),"",MIN($C$27,$D$27))</f>
      </c>
      <c r="R134" s="372"/>
      <c r="S134" s="307" t="str">
        <f>"-ive or "&amp;IF($C$28&lt;0,"harmful","beneficial")</f>
        <v>-ive or beneficial</v>
      </c>
      <c r="T134" s="69"/>
      <c r="U134" s="259">
        <f>IF(ISBLANK($C$28),"",MIN($C$28,$D$28))</f>
      </c>
      <c r="V134" s="259">
        <f>IF(ISBLANK($C$28),"",MIN($C$28,$D$28))</f>
      </c>
      <c r="W134" s="28"/>
      <c r="Y134" s="372"/>
      <c r="Z134" s="307" t="str">
        <f>"-ive or "&amp;IF($C$28&lt;0,"harmful","beneficial")</f>
        <v>-ive or beneficial</v>
      </c>
      <c r="AA134" s="259">
        <f>IF(ISBLANK($C$28),"",MIN($C$28,$D$28))</f>
      </c>
      <c r="AB134" s="259">
        <f>IF(ISBLANK($C$28),"",MIN($C$28,$D$28))</f>
      </c>
      <c r="AC134" s="259">
        <f>IF(ISBLANK($C$28),"",MIN($C$28,$D$28))</f>
      </c>
      <c r="AD134" s="259">
        <f>IF(ISBLANK($C$28),"",MIN($C$28,$D$28))</f>
      </c>
      <c r="AE134" s="259">
        <f>IF(ISBLANK($C$28),"",MIN($C$28,$D$28))</f>
      </c>
      <c r="AJ134" s="190"/>
    </row>
    <row r="135" spans="2:36" s="53" customFormat="1" ht="12.75" customHeight="1">
      <c r="B135" s="381" t="s">
        <v>193</v>
      </c>
      <c r="C135" s="412" t="str">
        <f>"substantially positive (+ive) or "&amp;IF($C$27&gt;0,"harmful","beneficial")</f>
        <v>substantially positive (+ive) or beneficial</v>
      </c>
      <c r="D135" s="70" t="e">
        <f>IF(ISERROR(TDIST((D133-D129)/D123,D128,1)),1-TDIST((D129-D133)/D123,D128,1),TDIST((D133-D129)/D123,D128,1))*100</f>
        <v>#VALUE!</v>
      </c>
      <c r="E135" s="70" t="e">
        <f>IF(ISERROR(TDIST((E133-E129)/E123,E128,1)),1-TDIST((E129-E133)/E123,E128,1),TDIST((E133-E129)/E123,E128,1))*100</f>
        <v>#VALUE!</v>
      </c>
      <c r="F135" s="70" t="e">
        <f>IF(ISERROR(TDIST((F133-F129)/F123,F128,1)),1-TDIST((F129-F133)/F123,F128,1),TDIST((F133-F129)/F123,F128,1))*100</f>
        <v>#VALUE!</v>
      </c>
      <c r="G135" s="27"/>
      <c r="H135" s="24"/>
      <c r="I135" s="381" t="s">
        <v>193</v>
      </c>
      <c r="J135" s="412" t="str">
        <f>"substantially positive (+ive) or "&amp;IF($C$27&gt;0,"harmful","beneficial")</f>
        <v>substantially positive (+ive) or beneficial</v>
      </c>
      <c r="K135" s="70" t="e">
        <f>IF(ISERROR(TDIST((K133-K129)/K123,K128,1)),1-TDIST((K129-K133)/K123,K128,1),TDIST((K133-K129)/K123,K128,1))*100</f>
        <v>#VALUE!</v>
      </c>
      <c r="L135" s="70" t="e">
        <f>IF(ISERROR(TDIST((L133-L129)/L123,L128,1)),1-TDIST((L129-L133)/L123,L128,1),TDIST((L133-L129)/L123,L128,1))*100</f>
        <v>#VALUE!</v>
      </c>
      <c r="M135" s="70" t="e">
        <f>IF(ISERROR(TDIST((M133-M129)/M123,M128,1)),1-TDIST((M129-M133)/M123,M128,1),TDIST((M133-M129)/M123,M128,1))*100</f>
        <v>#VALUE!</v>
      </c>
      <c r="N135" s="70" t="e">
        <f>IF(ISERROR(TDIST((N133-N129)/N123,N128,1)),1-TDIST((N129-N133)/N123,N128,1),TDIST((N133-N129)/N123,N128,1))*100</f>
        <v>#VALUE!</v>
      </c>
      <c r="O135" s="70" t="e">
        <f>IF(ISERROR(TDIST((O133-O129)/O123,O128,1)),1-TDIST((O129-O133)/O123,O128,1),TDIST((O133-O129)/O123,O128,1))*100</f>
        <v>#DIV/0!</v>
      </c>
      <c r="R135" s="381" t="s">
        <v>193</v>
      </c>
      <c r="S135" s="412" t="str">
        <f>"substantially positive (+ive) or "&amp;IF($C$28&gt;0,"harmful","beneficial")</f>
        <v>substantially positive (+ive) or beneficial</v>
      </c>
      <c r="T135" s="130"/>
      <c r="U135" s="70" t="e">
        <f>IF(ISERROR(TDIST((100*LN(1+U133/100)-U$117)/U$123,U128,1)),1-TDIST((U$117-100*LN(1+U133/100))/U$123,U128,1),TDIST((100*LN(1+U133/100)-U$117)/U$123,U128,1))*100</f>
        <v>#VALUE!</v>
      </c>
      <c r="V135" s="70" t="e">
        <f>IF(ISERROR(TDIST((100*LN(1+V133/100)-V$117)/V$123,V128,1)),1-TDIST((V$117-100*LN(1+V133/100))/V$123,V128,1),TDIST((100*LN(1+V133/100)-V$117)/V$123,V128,1))*100</f>
        <v>#VALUE!</v>
      </c>
      <c r="Y135" s="381" t="s">
        <v>193</v>
      </c>
      <c r="Z135" s="412" t="str">
        <f>"substantially positive (+ive) or "&amp;IF($C$28&gt;0,"harmful","beneficial")</f>
        <v>substantially positive (+ive) or beneficial</v>
      </c>
      <c r="AA135" s="70" t="e">
        <f>IF(ISERROR(TDIST((100*LN(1+AA133/100)-AA$117)/AA$123,AA128,1)),1-TDIST((AA$117-100*LN(1+AA133/100))/AA$123,AA128,1),TDIST((100*LN(1+AA133/100)-AA$117)/AA$123,AA128,1))*100</f>
        <v>#VALUE!</v>
      </c>
      <c r="AB135" s="70" t="e">
        <f>IF(ISERROR(TDIST((100*LN(1+AB133/100)-AB$117)/AB$123,AB128,1)),1-TDIST((AB$117-100*LN(1+AB133/100))/AB$123,AB128,1),TDIST((100*LN(1+AB133/100)-AB$117)/AB$123,AB128,1))*100</f>
        <v>#VALUE!</v>
      </c>
      <c r="AC135" s="70" t="e">
        <f>IF(ISERROR(TDIST((100*LN(1+AC133/100)-AC$117)/AC$123,AC128,1)),1-TDIST((AC$117-100*LN(1+AC133/100))/AC$123,AC128,1),TDIST((100*LN(1+AC133/100)-AC$117)/AC$123,AC128,1))*100</f>
        <v>#VALUE!</v>
      </c>
      <c r="AD135" s="70" t="e">
        <f>IF(ISERROR(TDIST((100*LN(1+AD133/100)-AD$117)/AD$123,AD128,1)),1-TDIST((AD$117-100*LN(1+AD133/100))/AD$123,AD128,1),TDIST((100*LN(1+AD133/100)-AD$117)/AD$123,AD128,1))*100</f>
        <v>#VALUE!</v>
      </c>
      <c r="AE135" s="70" t="e">
        <f>IF(ISERROR(TDIST((100*LN(1+AE133/100)-AE$117)/AE$123,AE128,1)),1-TDIST((AE$117-100*LN(1+AE133/100))/AE$123,AE128,1),TDIST((100*LN(1+AE133/100)-AE$117)/AE$123,AE128,1))*100</f>
        <v>#DIV/0!</v>
      </c>
      <c r="AJ135" s="191"/>
    </row>
    <row r="136" spans="2:36" s="53" customFormat="1" ht="30.75" customHeight="1">
      <c r="B136" s="382"/>
      <c r="C136" s="413"/>
      <c r="D136" s="21" t="e">
        <f>IF(D135&lt;0.5,"most unlikely",IF(D135&lt;5,"very unlikely",IF(D135&lt;25,"unlikely",IF(D135&lt;75,"possibly",IF(D135&lt;95,"likely",IF(D135&lt;99.5,"very likely","most likely"))))))</f>
        <v>#VALUE!</v>
      </c>
      <c r="E136" s="21" t="e">
        <f>IF(E135&lt;0.5,"most unlikely",IF(E135&lt;5,"very unlikely",IF(E135&lt;25,"unlikely",IF(E135&lt;75,"possibly",IF(E135&lt;95,"likely",IF(E135&lt;99.5,"very likely","most likely"))))))</f>
        <v>#VALUE!</v>
      </c>
      <c r="F136" s="21" t="e">
        <f>IF(F135&lt;0.5,"most unlikely",IF(F135&lt;5,"very unlikely",IF(F135&lt;25,"unlikely",IF(F135&lt;75,"possibly",IF(F135&lt;95,"likely",IF(F135&lt;99.5,"very likely","most likely"))))))</f>
        <v>#VALUE!</v>
      </c>
      <c r="G136" s="81"/>
      <c r="H136" s="82"/>
      <c r="I136" s="382"/>
      <c r="J136" s="413"/>
      <c r="K136" s="21" t="e">
        <f>IF(K135&lt;0.5,"most unlikely",IF(K135&lt;5,"very unlikely",IF(K135&lt;25,"unlikely",IF(K135&lt;75,"possibly",IF(K135&lt;95,"likely",IF(K135&lt;99.5,"very likely","most likely"))))))</f>
        <v>#VALUE!</v>
      </c>
      <c r="L136" s="21" t="e">
        <f>IF(L135&lt;0.5,"most unlikely",IF(L135&lt;5,"very unlikely",IF(L135&lt;25,"unlikely",IF(L135&lt;75,"possibly",IF(L135&lt;95,"likely",IF(L135&lt;99.5,"very likely","most likely"))))))</f>
        <v>#VALUE!</v>
      </c>
      <c r="M136" s="21" t="e">
        <f>IF(M135&lt;0.5,"most unlikely",IF(M135&lt;5,"very unlikely",IF(M135&lt;25,"unlikely",IF(M135&lt;75,"possibly",IF(M135&lt;95,"likely",IF(M135&lt;99.5,"very likely","most likely"))))))</f>
        <v>#VALUE!</v>
      </c>
      <c r="N136" s="21" t="e">
        <f>IF(N135&lt;0.5,"most unlikely",IF(N135&lt;5,"very unlikely",IF(N135&lt;25,"unlikely",IF(N135&lt;75,"possibly",IF(N135&lt;95,"likely",IF(N135&lt;99.5,"very likely","most likely"))))))</f>
        <v>#VALUE!</v>
      </c>
      <c r="O136" s="21" t="e">
        <f>IF(O135&lt;0.5,"most unlikely",IF(O135&lt;5,"very unlikely",IF(O135&lt;25,"unlikely",IF(O135&lt;75,"possibly",IF(O135&lt;95,"likely",IF(O135&lt;99.5,"very likely","most likely"))))))</f>
        <v>#DIV/0!</v>
      </c>
      <c r="R136" s="382"/>
      <c r="S136" s="413"/>
      <c r="T136" s="129"/>
      <c r="U136" s="21" t="e">
        <f>IF(U135&lt;0.5,"most unlikely",IF(U135&lt;5,"very unlikely",IF(U135&lt;25,"unlikely",IF(U135&lt;75,"possibly",IF(U135&lt;95,"likely",IF(U135&lt;99.5,"very likely","most likely"))))))</f>
        <v>#VALUE!</v>
      </c>
      <c r="V136" s="21" t="e">
        <f>IF(V135&lt;0.5,"most unlikely",IF(V135&lt;5,"very unlikely",IF(V135&lt;25,"unlikely",IF(V135&lt;75,"possibly",IF(V135&lt;95,"likely",IF(V135&lt;99.5,"very likely","most likely"))))))</f>
        <v>#VALUE!</v>
      </c>
      <c r="Y136" s="382"/>
      <c r="Z136" s="413"/>
      <c r="AA136" s="21" t="e">
        <f>IF(AA135&lt;0.5,"most unlikely",IF(AA135&lt;5,"very unlikely",IF(AA135&lt;25,"unlikely",IF(AA135&lt;75,"possibly",IF(AA135&lt;95,"likely",IF(AA135&lt;99.5,"very likely","most likely"))))))</f>
        <v>#VALUE!</v>
      </c>
      <c r="AB136" s="21" t="e">
        <f>IF(AB135&lt;0.5,"most unlikely",IF(AB135&lt;5,"very unlikely",IF(AB135&lt;25,"unlikely",IF(AB135&lt;75,"possibly",IF(AB135&lt;95,"likely",IF(AB135&lt;99.5,"very likely","most likely"))))))</f>
        <v>#VALUE!</v>
      </c>
      <c r="AC136" s="21" t="e">
        <f>IF(AC135&lt;0.5,"most unlikely",IF(AC135&lt;5,"very unlikely",IF(AC135&lt;25,"unlikely",IF(AC135&lt;75,"possibly",IF(AC135&lt;95,"likely",IF(AC135&lt;99.5,"very likely","most likely"))))))</f>
        <v>#VALUE!</v>
      </c>
      <c r="AD136" s="21" t="e">
        <f>IF(AD135&lt;0.5,"most unlikely",IF(AD135&lt;5,"very unlikely",IF(AD135&lt;25,"unlikely",IF(AD135&lt;75,"possibly",IF(AD135&lt;95,"likely",IF(AD135&lt;99.5,"very likely","most likely"))))))</f>
        <v>#VALUE!</v>
      </c>
      <c r="AE136" s="21" t="e">
        <f>IF(AE135&lt;0.5,"most unlikely",IF(AE135&lt;5,"very unlikely",IF(AE135&lt;25,"unlikely",IF(AE135&lt;75,"possibly",IF(AE135&lt;95,"likely",IF(AE135&lt;99.5,"very likely","most likely"))))))</f>
        <v>#DIV/0!</v>
      </c>
      <c r="AJ136" s="192"/>
    </row>
    <row r="137" spans="2:36" s="53" customFormat="1" ht="12.75">
      <c r="B137" s="382"/>
      <c r="C137" s="373" t="s">
        <v>12</v>
      </c>
      <c r="D137" s="70" t="e">
        <f>100-D135-D139</f>
        <v>#VALUE!</v>
      </c>
      <c r="E137" s="70" t="e">
        <f>100-E135-E139</f>
        <v>#VALUE!</v>
      </c>
      <c r="F137" s="70" t="e">
        <f>100-F135-F139</f>
        <v>#VALUE!</v>
      </c>
      <c r="G137" s="24"/>
      <c r="H137" s="24"/>
      <c r="I137" s="382"/>
      <c r="J137" s="373" t="s">
        <v>12</v>
      </c>
      <c r="K137" s="70" t="e">
        <f>100-K135-K139</f>
        <v>#VALUE!</v>
      </c>
      <c r="L137" s="70" t="e">
        <f>100-L135-L139</f>
        <v>#VALUE!</v>
      </c>
      <c r="M137" s="70" t="e">
        <f>100-M135-M139</f>
        <v>#VALUE!</v>
      </c>
      <c r="N137" s="70" t="e">
        <f>100-N135-N139</f>
        <v>#VALUE!</v>
      </c>
      <c r="O137" s="70" t="e">
        <f>100-O135-O139</f>
        <v>#DIV/0!</v>
      </c>
      <c r="R137" s="382"/>
      <c r="S137" s="373" t="s">
        <v>12</v>
      </c>
      <c r="T137" s="131"/>
      <c r="U137" s="70" t="e">
        <f>100-U135-U139</f>
        <v>#VALUE!</v>
      </c>
      <c r="V137" s="70" t="e">
        <f>100-V135-V139</f>
        <v>#VALUE!</v>
      </c>
      <c r="Y137" s="382"/>
      <c r="Z137" s="373" t="s">
        <v>12</v>
      </c>
      <c r="AA137" s="70" t="e">
        <f>100-AA135-AA139</f>
        <v>#VALUE!</v>
      </c>
      <c r="AB137" s="70" t="e">
        <f>100-AB135-AB139</f>
        <v>#VALUE!</v>
      </c>
      <c r="AC137" s="70" t="e">
        <f>100-AC135-AC139</f>
        <v>#VALUE!</v>
      </c>
      <c r="AD137" s="70" t="e">
        <f>100-AD135-AD139</f>
        <v>#VALUE!</v>
      </c>
      <c r="AE137" s="70" t="e">
        <f>AE253</f>
        <v>#DIV/0!</v>
      </c>
      <c r="AJ137" s="193"/>
    </row>
    <row r="138" spans="2:36" s="53" customFormat="1" ht="28.5" customHeight="1">
      <c r="B138" s="382"/>
      <c r="C138" s="374"/>
      <c r="D138" s="21" t="e">
        <f>IF(D137&lt;0.5,"most unlikely",IF(D137&lt;5,"very unlikely",IF(D137&lt;25,"unlikely",IF(D137&lt;75,"possibly",IF(D137&lt;95,"likely",IF(D137&lt;99.5,"very likely","most likely"))))))</f>
        <v>#VALUE!</v>
      </c>
      <c r="E138" s="21" t="e">
        <f>IF(E137&lt;0.5,"most unlikely",IF(E137&lt;5,"very unlikely",IF(E137&lt;25,"unlikely",IF(E137&lt;75,"possibly",IF(E137&lt;95,"likely",IF(E137&lt;99.5,"very likely","most likely"))))))</f>
        <v>#VALUE!</v>
      </c>
      <c r="F138" s="21" t="e">
        <f>IF(F137&lt;0.5,"most unlikely",IF(F137&lt;5,"very unlikely",IF(F137&lt;25,"unlikely",IF(F137&lt;75,"possibly",IF(F137&lt;95,"likely",IF(F137&lt;99.5,"very likely","most likely"))))))</f>
        <v>#VALUE!</v>
      </c>
      <c r="G138" s="29"/>
      <c r="H138" s="29"/>
      <c r="I138" s="382"/>
      <c r="J138" s="374"/>
      <c r="K138" s="21" t="e">
        <f>IF(K137&lt;0.5,"most unlikely",IF(K137&lt;5,"very unlikely",IF(K137&lt;25,"unlikely",IF(K137&lt;75,"possibly",IF(K137&lt;95,"likely",IF(K137&lt;99.5,"very likely","most likely"))))))</f>
        <v>#VALUE!</v>
      </c>
      <c r="L138" s="21" t="e">
        <f>IF(L137&lt;0.5,"most unlikely",IF(L137&lt;5,"very unlikely",IF(L137&lt;25,"unlikely",IF(L137&lt;75,"possibly",IF(L137&lt;95,"likely",IF(L137&lt;99.5,"very likely","most likely"))))))</f>
        <v>#VALUE!</v>
      </c>
      <c r="M138" s="21" t="e">
        <f>IF(M137&lt;0.5,"most unlikely",IF(M137&lt;5,"very unlikely",IF(M137&lt;25,"unlikely",IF(M137&lt;75,"possibly",IF(M137&lt;95,"likely",IF(M137&lt;99.5,"very likely","most likely"))))))</f>
        <v>#VALUE!</v>
      </c>
      <c r="N138" s="21" t="e">
        <f>IF(N137&lt;0.5,"most unlikely",IF(N137&lt;5,"very unlikely",IF(N137&lt;25,"unlikely",IF(N137&lt;75,"possibly",IF(N137&lt;95,"likely",IF(N137&lt;99.5,"very likely","most likely"))))))</f>
        <v>#VALUE!</v>
      </c>
      <c r="O138" s="21" t="e">
        <f>IF(O137&lt;0.5,"most unlikely",IF(O137&lt;5,"very unlikely",IF(O137&lt;25,"unlikely",IF(O137&lt;75,"possibly",IF(O137&lt;95,"likely",IF(O137&lt;99.5,"very likely","most likely"))))))</f>
        <v>#DIV/0!</v>
      </c>
      <c r="R138" s="382"/>
      <c r="S138" s="374"/>
      <c r="T138" s="132"/>
      <c r="U138" s="21" t="e">
        <f>IF(U137&lt;0.5,"most unlikely",IF(U137&lt;5,"very unlikely",IF(U137&lt;25,"unlikely",IF(U137&lt;75,"possibly",IF(U137&lt;95,"likely",IF(U137&lt;99.5,"very likely","most likely"))))))</f>
        <v>#VALUE!</v>
      </c>
      <c r="V138" s="21" t="e">
        <f>IF(V137&lt;0.5,"most unlikely",IF(V137&lt;5,"very unlikely",IF(V137&lt;25,"unlikely",IF(V137&lt;75,"possibly",IF(V137&lt;95,"likely",IF(V137&lt;99.5,"very likely","most likely"))))))</f>
        <v>#VALUE!</v>
      </c>
      <c r="Y138" s="382"/>
      <c r="Z138" s="374"/>
      <c r="AA138" s="21" t="e">
        <f>IF(AA137&lt;0.5,"most unlikely",IF(AA137&lt;5,"very unlikely",IF(AA137&lt;25,"unlikely",IF(AA137&lt;75,"possibly",IF(AA137&lt;95,"likely",IF(AA137&lt;99.5,"very likely","most likely"))))))</f>
        <v>#VALUE!</v>
      </c>
      <c r="AB138" s="21" t="e">
        <f>IF(AB137&lt;0.5,"most unlikely",IF(AB137&lt;5,"very unlikely",IF(AB137&lt;25,"unlikely",IF(AB137&lt;75,"possibly",IF(AB137&lt;95,"likely",IF(AB137&lt;99.5,"very likely","most likely"))))))</f>
        <v>#VALUE!</v>
      </c>
      <c r="AC138" s="21" t="e">
        <f>IF(AC137&lt;0.5,"most unlikely",IF(AC137&lt;5,"very unlikely",IF(AC137&lt;25,"unlikely",IF(AC137&lt;75,"possibly",IF(AC137&lt;95,"likely",IF(AC137&lt;99.5,"very likely","most likely"))))))</f>
        <v>#VALUE!</v>
      </c>
      <c r="AD138" s="21" t="e">
        <f>IF(AD137&lt;0.5,"most unlikely",IF(AD137&lt;5,"very unlikely",IF(AD137&lt;25,"unlikely",IF(AD137&lt;75,"possibly",IF(AD137&lt;95,"likely",IF(AD137&lt;99.5,"very likely","most likely"))))))</f>
        <v>#VALUE!</v>
      </c>
      <c r="AE138" s="21" t="e">
        <f>IF(AE137&lt;0.5,"most unlikely",IF(AE137&lt;5,"very unlikely",IF(AE137&lt;25,"unlikely",IF(AE137&lt;75,"possibly",IF(AE137&lt;95,"likely",IF(AE137&lt;99.5,"very likely","most likely"))))))</f>
        <v>#DIV/0!</v>
      </c>
      <c r="AJ138" s="193"/>
    </row>
    <row r="139" spans="2:36" s="53" customFormat="1" ht="12.75" customHeight="1">
      <c r="B139" s="382"/>
      <c r="C139" s="383" t="str">
        <f>"substantially negative (-ive) or "&amp;IF($C$27&lt;0,"harmful","beneficial")</f>
        <v>substantially negative (-ive) or beneficial</v>
      </c>
      <c r="D139" s="70" t="e">
        <f>IF(ISERROR(TDIST((D134-D129)/D123,D128,1)),TDIST((D129-D134)/D123,D128,1),1-TDIST((D134-D129)/D123,D128,1))*100</f>
        <v>#VALUE!</v>
      </c>
      <c r="E139" s="70" t="e">
        <f>IF(ISERROR(TDIST((E134-E129)/E123,E128,1)),TDIST((E129-E134)/E123,E128,1),1-TDIST((E134-E129)/E123,E128,1))*100</f>
        <v>#VALUE!</v>
      </c>
      <c r="F139" s="70" t="e">
        <f>IF(ISERROR(TDIST((F134-F129)/F123,F128,1)),TDIST((F129-F134)/F123,F128,1),1-TDIST((F134-F129)/F123,F128,1))*100</f>
        <v>#VALUE!</v>
      </c>
      <c r="G139" s="83"/>
      <c r="H139" s="83"/>
      <c r="I139" s="382"/>
      <c r="J139" s="383" t="str">
        <f>"substantially negative (-ive) or "&amp;IF($C$27&lt;0,"harmful","beneficial")</f>
        <v>substantially negative (-ive) or beneficial</v>
      </c>
      <c r="K139" s="70" t="e">
        <f>IF(ISERROR(TDIST((K134-K129)/K123,K128,1)),TDIST((K129-K134)/K123,K128,1),1-TDIST((K134-K129)/K123,K128,1))*100</f>
        <v>#VALUE!</v>
      </c>
      <c r="L139" s="70" t="e">
        <f>IF(ISERROR(TDIST((L134-L129)/L123,L128,1)),TDIST((L129-L134)/L123,L128,1),1-TDIST((L134-L129)/L123,L128,1))*100</f>
        <v>#VALUE!</v>
      </c>
      <c r="M139" s="70" t="e">
        <f>IF(ISERROR(TDIST((M134-M129)/M123,M128,1)),TDIST((M129-M134)/M123,M128,1),1-TDIST((M134-M129)/M123,M128,1))*100</f>
        <v>#VALUE!</v>
      </c>
      <c r="N139" s="70" t="e">
        <f>IF(ISERROR(TDIST((N134-N129)/N123,N128,1)),TDIST((N129-N134)/N123,N128,1),1-TDIST((N134-N129)/N123,N128,1))*100</f>
        <v>#VALUE!</v>
      </c>
      <c r="O139" s="70" t="e">
        <f>IF(ISERROR(TDIST((O134-O129)/O123,O128,1)),TDIST((O129-O134)/O123,O128,1),1-TDIST((O134-O129)/O123,O128,1))*100</f>
        <v>#DIV/0!</v>
      </c>
      <c r="R139" s="382"/>
      <c r="S139" s="383" t="str">
        <f>"substantially negative (-ive) or "&amp;IF($C$28&lt;0,"harmful","beneficial")</f>
        <v>substantially negative (-ive) or beneficial</v>
      </c>
      <c r="T139" s="133"/>
      <c r="U139" s="70" t="e">
        <f>IF(ISERROR(TDIST((100*LN(1+U134/100)-U$117)/U$123,U128,1)),TDIST((U$117-100*LN(1+U134/100))/U$123,U128,1),1-TDIST((100*LN(1+U134/100)-U$117)/U$123,U128,1))*100</f>
        <v>#VALUE!</v>
      </c>
      <c r="V139" s="70" t="e">
        <f>IF(ISERROR(TDIST((100*LN(1+V134/100)-V$117)/V$123,V128,1)),TDIST((V$117-100*LN(1+V134/100))/V$123,V128,1),1-TDIST((100*LN(1+V134/100)-V$117)/V$123,V128,1))*100</f>
        <v>#VALUE!</v>
      </c>
      <c r="Y139" s="382"/>
      <c r="Z139" s="383" t="str">
        <f>"substantially negative (-ive) or "&amp;IF($C$28&lt;0,"harmful","beneficial")</f>
        <v>substantially negative (-ive) or beneficial</v>
      </c>
      <c r="AA139" s="70" t="e">
        <f>IF(ISERROR(TDIST((100*LN(1+AA134/100)-AA$117)/AA$123,AA128,1)),TDIST((AA$117-100*LN(1+AA134/100))/AA$123,AA128,1),1-TDIST((100*LN(1+AA134/100)-AA$117)/AA$123,AA128,1))*100</f>
        <v>#VALUE!</v>
      </c>
      <c r="AB139" s="70" t="e">
        <f>IF(ISERROR(TDIST((100*LN(1+AB134/100)-AB$117)/AB$123,AB128,1)),TDIST((AB$117-100*LN(1+AB134/100))/AB$123,AB128,1),1-TDIST((100*LN(1+AB134/100)-AB$117)/AB$123,AB128,1))*100</f>
        <v>#VALUE!</v>
      </c>
      <c r="AC139" s="70" t="e">
        <f>IF(ISERROR(TDIST((100*LN(1+AC134/100)-AC$117)/AC$123,AC128,1)),TDIST((AC$117-100*LN(1+AC134/100))/AC$123,AC128,1),1-TDIST((100*LN(1+AC134/100)-AC$117)/AC$123,AC128,1))*100</f>
        <v>#VALUE!</v>
      </c>
      <c r="AD139" s="70" t="e">
        <f>IF(ISERROR(TDIST((100*LN(1+AD134/100)-AD$117)/AD$123,AD128,1)),TDIST((AD$117-100*LN(1+AD134/100))/AD$123,AD128,1),1-TDIST((100*LN(1+AD134/100)-AD$117)/AD$123,AD128,1))*100</f>
        <v>#VALUE!</v>
      </c>
      <c r="AE139" s="70" t="e">
        <f>IF(ISERROR(TDIST((100*LN(1+AE134/100)-AE$117)/AE$123,AE128,1)),TDIST((AE$117-100*LN(1+AE134/100))/AE$123,AE128,1),1-TDIST((100*LN(1+AE134/100)-AE$117)/AE$123,AE128,1))*100</f>
        <v>#DIV/0!</v>
      </c>
      <c r="AJ139" s="194"/>
    </row>
    <row r="140" spans="2:36" s="53" customFormat="1" ht="28.5" customHeight="1">
      <c r="B140" s="382"/>
      <c r="C140" s="384"/>
      <c r="D140" s="21" t="e">
        <f>IF(D139&lt;0.5,"most unlikely",IF(D139&lt;5,"very unlikely",IF(D139&lt;25,"unlikely",IF(D139&lt;75,"possibly",IF(D139&lt;95,"likely",IF(D139&lt;99.5,"very likely","most likely"))))))</f>
        <v>#VALUE!</v>
      </c>
      <c r="E140" s="21" t="e">
        <f>IF(E139&lt;0.5,"most unlikely",IF(E139&lt;5,"very unlikely",IF(E139&lt;25,"unlikely",IF(E139&lt;75,"possibly",IF(E139&lt;95,"likely",IF(E139&lt;99.5,"very likely","most likely"))))))</f>
        <v>#VALUE!</v>
      </c>
      <c r="F140" s="21" t="e">
        <f>IF(F139&lt;0.5,"most unlikely",IF(F139&lt;5,"very unlikely",IF(F139&lt;25,"unlikely",IF(F139&lt;75,"possibly",IF(F139&lt;95,"likely",IF(F139&lt;99.5,"very likely","most likely"))))))</f>
        <v>#VALUE!</v>
      </c>
      <c r="G140" s="24"/>
      <c r="H140" s="24"/>
      <c r="I140" s="382"/>
      <c r="J140" s="384"/>
      <c r="K140" s="21" t="e">
        <f>IF(K139&lt;0.5,"most unlikely",IF(K139&lt;5,"very unlikely",IF(K139&lt;25,"unlikely",IF(K139&lt;75,"possibly",IF(K139&lt;95,"likely",IF(K139&lt;99.5,"very likely","most likely"))))))</f>
        <v>#VALUE!</v>
      </c>
      <c r="L140" s="21" t="e">
        <f>IF(L139&lt;0.5,"most unlikely",IF(L139&lt;5,"very unlikely",IF(L139&lt;25,"unlikely",IF(L139&lt;75,"possibly",IF(L139&lt;95,"likely",IF(L139&lt;99.5,"very likely","most likely"))))))</f>
        <v>#VALUE!</v>
      </c>
      <c r="M140" s="21" t="e">
        <f>IF(M139&lt;0.5,"most unlikely",IF(M139&lt;5,"very unlikely",IF(M139&lt;25,"unlikely",IF(M139&lt;75,"possibly",IF(M139&lt;95,"likely",IF(M139&lt;99.5,"very likely","most likely"))))))</f>
        <v>#VALUE!</v>
      </c>
      <c r="N140" s="21" t="e">
        <f>IF(N139&lt;0.5,"most unlikely",IF(N139&lt;5,"very unlikely",IF(N139&lt;25,"unlikely",IF(N139&lt;75,"possibly",IF(N139&lt;95,"likely",IF(N139&lt;99.5,"very likely","most likely"))))))</f>
        <v>#VALUE!</v>
      </c>
      <c r="O140" s="21" t="e">
        <f>IF(O139&lt;0.5,"most unlikely",IF(O139&lt;5,"very unlikely",IF(O139&lt;25,"unlikely",IF(O139&lt;75,"possibly",IF(O139&lt;95,"likely",IF(O139&lt;99.5,"very likely","most likely"))))))</f>
        <v>#DIV/0!</v>
      </c>
      <c r="R140" s="382"/>
      <c r="S140" s="384"/>
      <c r="T140" s="134"/>
      <c r="U140" s="21" t="e">
        <f>IF(U139&lt;0.5,"most unlikely",IF(U139&lt;5,"very unlikely",IF(U139&lt;25,"unlikely",IF(U139&lt;75,"possibly",IF(U139&lt;95,"likely",IF(U139&lt;99.5,"very likely","most likely"))))))</f>
        <v>#VALUE!</v>
      </c>
      <c r="V140" s="21" t="e">
        <f>IF(V139&lt;0.5,"most unlikely",IF(V139&lt;5,"very unlikely",IF(V139&lt;25,"unlikely",IF(V139&lt;75,"possibly",IF(V139&lt;95,"likely",IF(V139&lt;99.5,"very likely","most likely"))))))</f>
        <v>#VALUE!</v>
      </c>
      <c r="Y140" s="382"/>
      <c r="Z140" s="384"/>
      <c r="AA140" s="21" t="e">
        <f>IF(AA139&lt;0.5,"most unlikely",IF(AA139&lt;5,"very unlikely",IF(AA139&lt;25,"unlikely",IF(AA139&lt;75,"possibly",IF(AA139&lt;95,"likely",IF(AA139&lt;99.5,"very likely","most likely"))))))</f>
        <v>#VALUE!</v>
      </c>
      <c r="AB140" s="21" t="e">
        <f>IF(AB139&lt;0.5,"most unlikely",IF(AB139&lt;5,"very unlikely",IF(AB139&lt;25,"unlikely",IF(AB139&lt;75,"possibly",IF(AB139&lt;95,"likely",IF(AB139&lt;99.5,"very likely","most likely"))))))</f>
        <v>#VALUE!</v>
      </c>
      <c r="AC140" s="21" t="e">
        <f>IF(AC139&lt;0.5,"most unlikely",IF(AC139&lt;5,"very unlikely",IF(AC139&lt;25,"unlikely",IF(AC139&lt;75,"possibly",IF(AC139&lt;95,"likely",IF(AC139&lt;99.5,"very likely","most likely"))))))</f>
        <v>#VALUE!</v>
      </c>
      <c r="AD140" s="21" t="e">
        <f>IF(AD139&lt;0.5,"most unlikely",IF(AD139&lt;5,"very unlikely",IF(AD139&lt;25,"unlikely",IF(AD139&lt;75,"possibly",IF(AD139&lt;95,"likely",IF(AD139&lt;99.5,"very likely","most likely"))))))</f>
        <v>#VALUE!</v>
      </c>
      <c r="AE140" s="21" t="e">
        <f>IF(AE139&lt;0.5,"most unlikely",IF(AE139&lt;5,"very unlikely",IF(AE139&lt;25,"unlikely",IF(AE139&lt;75,"possibly",IF(AE139&lt;95,"likely",IF(AE139&lt;99.5,"very likely","most likely"))))))</f>
        <v>#DIV/0!</v>
      </c>
      <c r="AJ140" s="195"/>
    </row>
    <row r="141" spans="2:36" ht="33.75" customHeight="1">
      <c r="B141" s="369" t="str">
        <f>"Mechanistic inference, based on threshold chances of "&amp;(100-$E$33)/2&amp;"% for substantial magnitudes"</f>
        <v>Mechanistic inference, based on threshold chances of 5% for substantial magnitudes</v>
      </c>
      <c r="C141" s="370"/>
      <c r="D141" s="302" t="e">
        <f>IF(MIN(D135,D139)&gt;(100-D127)/2,"unclear; get more data",IF(D135&gt;5,D136&amp;" +ive",IF(D139&gt;5,D140&amp;" –ive",D138&amp;" trivial")))</f>
        <v>#VALUE!</v>
      </c>
      <c r="E141" s="302" t="e">
        <f>IF(MIN(E135,E139)&gt;(100-E127)/2,"unclear; get more data",IF(E135&gt;5,E136&amp;" +ive",IF(E139&gt;5,E140&amp;" –ive",E138&amp;" trivial")))</f>
        <v>#VALUE!</v>
      </c>
      <c r="F141" s="302" t="e">
        <f>IF(MIN(F135,F139)&gt;(100-F127)/2,"unclear; get more data",IF(F135&gt;5,F136&amp;" +ive",IF(F139&gt;5,F140&amp;" –ive",F138&amp;" trivial")))</f>
        <v>#VALUE!</v>
      </c>
      <c r="G141" s="24"/>
      <c r="H141" s="24"/>
      <c r="I141" s="369" t="str">
        <f>"Mechanistic inference, based on threshold chances of "&amp;(100-$E$33)/2&amp;"% for substantial magnitudes"</f>
        <v>Mechanistic inference, based on threshold chances of 5% for substantial magnitudes</v>
      </c>
      <c r="J141" s="370"/>
      <c r="K141" s="302" t="e">
        <f>IF(MIN(K135,K139)&gt;(100-K127)/2,"unclear; get more data",IF(K135&gt;5,K136&amp;" +ive",IF(K139&gt;5,K140&amp;" –ive",K138&amp;" trivial")))</f>
        <v>#VALUE!</v>
      </c>
      <c r="L141" s="302" t="e">
        <f>IF(MIN(L135,L139)&gt;(100-L127)/2,"unclear; get more data",IF(L135&gt;5,L136&amp;" +ive",IF(L139&gt;5,L140&amp;" –ive",L138&amp;" trivial")))</f>
        <v>#VALUE!</v>
      </c>
      <c r="M141" s="302" t="e">
        <f>IF(MIN(M135,M139)&gt;(100-M127)/2,"unclear; get more data",IF(M135&gt;5,M136&amp;" +ive",IF(M139&gt;5,M140&amp;" –ive",M138&amp;" trivial")))</f>
        <v>#VALUE!</v>
      </c>
      <c r="N141" s="302" t="e">
        <f>IF(MIN(N135,N139)&gt;(100-N127)/2,"unclear; get more data",IF(N135&gt;5,N136&amp;" +ive",IF(N139&gt;5,N140&amp;" –ive",N138&amp;" trivial")))</f>
        <v>#VALUE!</v>
      </c>
      <c r="O141" s="302" t="e">
        <f>IF(MIN(O135,O139)&gt;(100-O127)/2,"unclear; get more data",IF(O135&gt;5,O136&amp;" +ive",IF(O139&gt;5,O140&amp;" –ive",O138&amp;" trivial")))</f>
        <v>#DIV/0!</v>
      </c>
      <c r="R141" s="369" t="str">
        <f>"Mechanistic inference, based on threshold chances of "&amp;(100-$E$33)/2&amp;"% for substantial magnitudes"</f>
        <v>Mechanistic inference, based on threshold chances of 5% for substantial magnitudes</v>
      </c>
      <c r="S141" s="370"/>
      <c r="T141" s="277"/>
      <c r="U141" s="302" t="e">
        <f>IF(MIN(U135,U139)&gt;(100-U127)/2,"unclear; get more data",IF(U135&gt;5,U136&amp;" +ive",IF(U139&gt;5,U140&amp;" –ive",U138&amp;" trivial")))</f>
        <v>#VALUE!</v>
      </c>
      <c r="V141" s="302" t="e">
        <f>IF(MIN(V135,V139)&gt;(100-V127)/2,"unclear; get more data",IF(V135&gt;5,V136&amp;" +ive",IF(V139&gt;5,V140&amp;" –ive",V138&amp;" trivial")))</f>
        <v>#VALUE!</v>
      </c>
      <c r="W141" s="24"/>
      <c r="X141" s="24"/>
      <c r="Y141" s="369" t="str">
        <f>"Mechanistic inference, based on threshold chances of "&amp;(100-$E$33)/2&amp;"% for substantial magnitudes"</f>
        <v>Mechanistic inference, based on threshold chances of 5% for substantial magnitudes</v>
      </c>
      <c r="Z141" s="370"/>
      <c r="AA141" s="302" t="e">
        <f>IF(MIN(AA135,AA139)&gt;(100-AA127)/2,"unclear; get more data",IF(AA135&gt;5,AA136&amp;" +ive",IF(AA139&gt;5,AA140&amp;" –ive",AA138&amp;" trivial")))</f>
        <v>#VALUE!</v>
      </c>
      <c r="AB141" s="302" t="e">
        <f>IF(MIN(AB135,AB139)&gt;(100-AB127)/2,"unclear; get more data",IF(AB135&gt;5,AB136&amp;" +ive",IF(AB139&gt;5,AB140&amp;" –ive",AB138&amp;" trivial")))</f>
        <v>#VALUE!</v>
      </c>
      <c r="AC141" s="302" t="e">
        <f>IF(MIN(AC135,AC139)&gt;(100-AC127)/2,"unclear; get more data",IF(AC135&gt;5,AC136&amp;" +ive",IF(AC139&gt;5,AC140&amp;" –ive",AC138&amp;" trivial")))</f>
        <v>#VALUE!</v>
      </c>
      <c r="AD141" s="302" t="e">
        <f>IF(MIN(AD135,AD139)&gt;(100-AD127)/2,"unclear; get more data",IF(AD135&gt;5,AD136&amp;" +ive",IF(AD139&gt;5,AD140&amp;" –ive",AD138&amp;" trivial")))</f>
        <v>#VALUE!</v>
      </c>
      <c r="AE141" s="302" t="e">
        <f>IF(MIN(AE135,AE139)&gt;(100-AE127)/2,"unclear; get more data",IF(AE135&gt;5,AE136&amp;" +ive",IF(AE139&gt;5,AE140&amp;" –ive",AE138&amp;" trivial")))</f>
        <v>#DIV/0!</v>
      </c>
      <c r="AJ141" s="188"/>
    </row>
    <row r="142" spans="2:36" ht="33.75" customHeight="1">
      <c r="B142" s="369"/>
      <c r="C142" s="370"/>
      <c r="D142" s="302"/>
      <c r="E142" s="302"/>
      <c r="F142" s="302"/>
      <c r="G142" s="24"/>
      <c r="H142" s="24"/>
      <c r="I142" s="369" t="str">
        <f>"Clinical inference, based on threshold chances of harm and benefit of "&amp;$E$36&amp;"% and "&amp;$E$37&amp;"%"</f>
        <v>Clinical inference, based on threshold chances of harm and benefit of 0.5% and 25%</v>
      </c>
      <c r="J142" s="370"/>
      <c r="K142" s="302" t="e">
        <f>IF($C$27&gt;0,IF(K139&gt;$E$37,IF(K135&lt;$E$36,K140&amp;" beneficial","unclear; get more data"),IF(K135&gt;25,K136&amp;" harmful",K138&amp;" trivial")),IF(K135&gt;$E$37,IF(K139&lt;$E$36,K136&amp;" beneficial","unclear; get more data"),IF(K139&gt;25,K140&amp;" harmful",K138&amp;" trivial")))</f>
        <v>#VALUE!</v>
      </c>
      <c r="L142" s="302" t="e">
        <f>IF($C$27&gt;0,IF(L139&gt;$E$37,IF(L135&lt;$E$36,L140&amp;" beneficial","unclear; get more data"),IF(L135&gt;25,L136&amp;" harmful",L138&amp;" trivial")),IF(L135&gt;$E$37,IF(L139&lt;$E$36,L136&amp;" beneficial","unclear; get more data"),IF(L139&gt;25,L140&amp;" harmful",L138&amp;" trivial")))</f>
        <v>#VALUE!</v>
      </c>
      <c r="M142" s="302" t="e">
        <f>IF($C$27&gt;0,IF(M139&gt;$E$37,IF(M135&lt;$E$36,M140&amp;" beneficial","unclear; get more data"),IF(M135&gt;25,M136&amp;" harmful",M138&amp;" trivial")),IF(M135&gt;$E$37,IF(M139&lt;$E$36,M136&amp;" beneficial","unclear; get more data"),IF(M139&gt;25,M140&amp;" harmful",M138&amp;" trivial")))</f>
        <v>#VALUE!</v>
      </c>
      <c r="N142" s="302" t="e">
        <f>IF($C$27&gt;0,IF(N139&gt;$E$37,IF(N135&lt;$E$36,N140&amp;" beneficial","unclear; get more data"),IF(N135&gt;25,N136&amp;" harmful",N138&amp;" trivial")),IF(N135&gt;$E$37,IF(N139&lt;$E$36,N136&amp;" beneficial","unclear; get more data"),IF(N139&gt;25,N140&amp;" harmful",N138&amp;" trivial")))</f>
        <v>#VALUE!</v>
      </c>
      <c r="O142" s="302" t="e">
        <f>IF($C$27&gt;0,IF(O139&gt;$E$37,IF(O135&lt;$E$36,O140&amp;" beneficial","unclear; get more data"),IF(O135&gt;25,O136&amp;" harmful",O138&amp;" trivial")),IF(O135&gt;$E$37,IF(O139&lt;$E$36,O136&amp;" beneficial","unclear; get more data"),IF(O139&gt;25,O140&amp;" harmful",O138&amp;" trivial")))</f>
        <v>#DIV/0!</v>
      </c>
      <c r="R142" s="369"/>
      <c r="S142" s="370"/>
      <c r="T142" s="277"/>
      <c r="U142" s="302"/>
      <c r="V142" s="302"/>
      <c r="W142" s="24"/>
      <c r="X142" s="24"/>
      <c r="Y142" s="369" t="str">
        <f>"Clinical inference, based on threshold chances of harm and benefit of "&amp;$E$36&amp;"% and "&amp;$E$37&amp;"%"</f>
        <v>Clinical inference, based on threshold chances of harm and benefit of 0.5% and 25%</v>
      </c>
      <c r="Z142" s="370"/>
      <c r="AA142" s="302" t="e">
        <f>IF($C$28&gt;0,IF(AA139&gt;$E$37,IF(AA135&lt;$E$36,AA140&amp;" beneficial","unclear; get more data"),IF(AA135&gt;25,AA136&amp;" harmful",AA138&amp;" trivial")),IF(AA135&gt;$E$37,IF(AA139&lt;$E$36,AA136&amp;" beneficial","unclear; get more data"),IF(AA139&gt;25,AA140&amp;" harmful",AA138&amp;" trivial")))</f>
        <v>#VALUE!</v>
      </c>
      <c r="AB142" s="302" t="e">
        <f>IF($C$28&gt;0,IF(AB139&gt;$E$37,IF(AB135&lt;$E$36,AB140&amp;" beneficial","unclear; get more data"),IF(AB135&gt;25,AB136&amp;" harmful",AB138&amp;" trivial")),IF(AB135&gt;$E$37,IF(AB139&lt;$E$36,AB136&amp;" beneficial","unclear; get more data"),IF(AB139&gt;25,AB140&amp;" harmful",AB138&amp;" trivial")))</f>
        <v>#VALUE!</v>
      </c>
      <c r="AC142" s="302" t="e">
        <f>IF($C$28&gt;0,IF(AC139&gt;$E$37,IF(AC135&lt;$E$36,AC140&amp;" beneficial","unclear; get more data"),IF(AC135&gt;25,AC136&amp;" harmful",AC138&amp;" trivial")),IF(AC135&gt;$E$37,IF(AC139&lt;$E$36,AC136&amp;" beneficial","unclear; get more data"),IF(AC139&gt;25,AC140&amp;" harmful",AC138&amp;" trivial")))</f>
        <v>#VALUE!</v>
      </c>
      <c r="AD142" s="302" t="e">
        <f>IF($C$28&gt;0,IF(AD139&gt;$E$37,IF(AD135&lt;$E$36,AD140&amp;" beneficial","unclear; get more data"),IF(AD135&gt;25,AD136&amp;" harmful",AD138&amp;" trivial")),IF(AD135&gt;$E$37,IF(AD139&lt;$E$36,AD136&amp;" beneficial","unclear; get more data"),IF(AD139&gt;25,AD140&amp;" harmful",AD138&amp;" trivial")))</f>
        <v>#VALUE!</v>
      </c>
      <c r="AE142" s="302" t="e">
        <f>IF($C$28&gt;0,IF(AE139&gt;$E$37,IF(AE135&lt;$E$36,AE140&amp;" beneficial","unclear; get more data"),IF(AE135&gt;25,AE136&amp;" harmful",AE138&amp;" trivial")),IF(AE135&gt;$E$37,IF(AE139&lt;$E$36,AE136&amp;" beneficial","unclear; get more data"),IF(AE139&gt;25,AE140&amp;" harmful",AE138&amp;" trivial")))</f>
        <v>#DIV/0!</v>
      </c>
      <c r="AJ142" s="188"/>
    </row>
    <row r="143" spans="2:36" ht="12.75" customHeight="1">
      <c r="B143" s="369"/>
      <c r="C143" s="370"/>
      <c r="D143" s="319"/>
      <c r="E143" s="319"/>
      <c r="F143" s="319"/>
      <c r="G143" s="24"/>
      <c r="H143" s="24"/>
      <c r="I143" s="369" t="s">
        <v>200</v>
      </c>
      <c r="J143" s="370"/>
      <c r="K143" s="319" t="e">
        <f>IF($C$27&gt;0,K139/(100-K139)/(K135/(100-K135)),K135/(100-K135)/(K139/(100-K139)))</f>
        <v>#VALUE!</v>
      </c>
      <c r="L143" s="319" t="e">
        <f>IF($C$27&gt;0,L139/(100-L139)/(L135/(100-L135)),L135/(100-L135)/(L139/(100-L139)))</f>
        <v>#VALUE!</v>
      </c>
      <c r="M143" s="319" t="e">
        <f>IF($C$27&gt;0,M139/(100-M139)/(M135/(100-M135)),M135/(100-M135)/(M139/(100-M139)))</f>
        <v>#VALUE!</v>
      </c>
      <c r="N143" s="319" t="e">
        <f>IF($C$27&gt;0,N139/(100-N139)/(N135/(100-N135)),N135/(100-N135)/(N139/(100-N139)))</f>
        <v>#VALUE!</v>
      </c>
      <c r="O143" s="319" t="e">
        <f>IF($C$27&gt;0,O139/(100-O139)/(O135/(100-O135)),O135/(100-O135)/(O139/(100-O139)))</f>
        <v>#DIV/0!</v>
      </c>
      <c r="R143" s="369"/>
      <c r="S143" s="370"/>
      <c r="T143" s="303"/>
      <c r="U143" s="319"/>
      <c r="V143" s="319"/>
      <c r="W143" s="24"/>
      <c r="X143" s="24"/>
      <c r="Y143" s="369" t="s">
        <v>200</v>
      </c>
      <c r="Z143" s="370"/>
      <c r="AA143" s="319" t="e">
        <f>IF($C$28&gt;0,AA139/(100-AA139)/(AA135/(100-AA135)),AA135/(100-AA135)/(AA139/(100-AA139)))</f>
        <v>#VALUE!</v>
      </c>
      <c r="AB143" s="319" t="e">
        <f>IF($C$28&gt;0,AB139/(100-AB139)/(AB135/(100-AB135)),AB135/(100-AB135)/(AB139/(100-AB139)))</f>
        <v>#VALUE!</v>
      </c>
      <c r="AC143" s="319" t="e">
        <f>IF($C$28&gt;0,AC139/(100-AC139)/(AC135/(100-AC135)),AC135/(100-AC135)/(AC139/(100-AC139)))</f>
        <v>#VALUE!</v>
      </c>
      <c r="AD143" s="319" t="e">
        <f>IF($C$28&gt;0,AD139/(100-AD139)/(AD135/(100-AD135)),AD135/(100-AD135)/(AD139/(100-AD139)))</f>
        <v>#VALUE!</v>
      </c>
      <c r="AE143" s="319" t="e">
        <f>IF($C$28&gt;0,AE139/(100-AE139)/(AE135/(100-AE135)),AE135/(100-AE135)/(AE139/(100-AE139)))</f>
        <v>#DIV/0!</v>
      </c>
      <c r="AJ143" s="188"/>
    </row>
    <row r="144" spans="2:36" ht="33.75" customHeight="1">
      <c r="B144" s="369"/>
      <c r="C144" s="370"/>
      <c r="D144" s="277"/>
      <c r="E144" s="277"/>
      <c r="F144" s="277"/>
      <c r="G144" s="24"/>
      <c r="H144" s="24"/>
      <c r="I144" s="369" t="str">
        <f>"Clinical inference as above, but declaring beneficial when odds ratio of benefit/harm is &gt;"&amp;$E$38</f>
        <v>Clinical inference as above, but declaring beneficial when odds ratio of benefit/harm is &gt;66</v>
      </c>
      <c r="J144" s="370"/>
      <c r="K144" s="277" t="e">
        <f>IF(K143&gt;$E$38,IF($C$27&gt;0,K140,K136)&amp;" beneficial",IF($C$27&gt;0,IF(K139&gt;$E$37,IF(K135&lt;$E$36,K140&amp;" beneficial","unclear; get more data"),IF(K135&gt;25,K136&amp;" harmful",K138&amp;" trivial")),IF(K135&gt;$E$37,IF(K139&lt;$E$36,K136&amp;" beneficial","unclear; get more data"),IF(K139&gt;25,K140&amp;" harmful",K138&amp;" trivial"))))</f>
        <v>#VALUE!</v>
      </c>
      <c r="L144" s="277" t="e">
        <f>IF(L143&gt;$E$38,IF($C$27&gt;0,L140,L136)&amp;" beneficial",IF($C$27&gt;0,IF(L139&gt;$E$37,IF(L135&lt;$E$36,L140&amp;" beneficial","unclear; get more data"),IF(L135&gt;25,L136&amp;" harmful",L138&amp;" trivial")),IF(L135&gt;$E$37,IF(L139&lt;$E$36,L136&amp;" beneficial","unclear; get more data"),IF(L139&gt;25,L140&amp;" harmful",L138&amp;" trivial"))))</f>
        <v>#VALUE!</v>
      </c>
      <c r="M144" s="277" t="e">
        <f>IF(M143&gt;$E$38,IF($C$27&gt;0,M140,M136)&amp;" beneficial",IF($C$27&gt;0,IF(M139&gt;$E$37,IF(M135&lt;$E$36,M140&amp;" beneficial","unclear; get more data"),IF(M135&gt;25,M136&amp;" harmful",M138&amp;" trivial")),IF(M135&gt;$E$37,IF(M139&lt;$E$36,M136&amp;" beneficial","unclear; get more data"),IF(M139&gt;25,M140&amp;" harmful",M138&amp;" trivial"))))</f>
        <v>#VALUE!</v>
      </c>
      <c r="N144" s="277" t="e">
        <f>IF(N143&gt;$E$38,IF($C$27&gt;0,N140,N136)&amp;" beneficial",IF($C$27&gt;0,IF(N139&gt;$E$37,IF(N135&lt;$E$36,N140&amp;" beneficial","unclear; get more data"),IF(N135&gt;25,N136&amp;" harmful",N138&amp;" trivial")),IF(N135&gt;$E$37,IF(N139&lt;$E$36,N136&amp;" beneficial","unclear; get more data"),IF(N139&gt;25,N140&amp;" harmful",N138&amp;" trivial"))))</f>
        <v>#VALUE!</v>
      </c>
      <c r="O144" s="277" t="e">
        <f>IF(O143&gt;$E$38,IF($C$27&gt;0,O140,O136)&amp;" beneficial",IF($C$27&gt;0,IF(O139&gt;$E$37,IF(O135&lt;$E$36,O140&amp;" beneficial","unclear; get more data"),IF(O135&gt;25,O136&amp;" harmful",O138&amp;" trivial")),IF(O135&gt;$E$37,IF(O139&lt;$E$36,O136&amp;" beneficial","unclear; get more data"),IF(O139&gt;25,O140&amp;" harmful",O138&amp;" trivial"))))</f>
        <v>#DIV/0!</v>
      </c>
      <c r="R144" s="369"/>
      <c r="S144" s="370"/>
      <c r="T144" s="303"/>
      <c r="U144" s="277"/>
      <c r="V144" s="277"/>
      <c r="W144" s="24"/>
      <c r="X144" s="24"/>
      <c r="Y144" s="369" t="str">
        <f>"Clinical inference as above, but declaring beneficial when odds ratio of benefit/harm is &gt;"&amp;$E$38</f>
        <v>Clinical inference as above, but declaring beneficial when odds ratio of benefit/harm is &gt;66</v>
      </c>
      <c r="Z144" s="370"/>
      <c r="AA144" s="277" t="e">
        <f>IF(AA143&gt;$E$38,IF($C$28&gt;0,AA140,AA136)&amp;" beneficial",IF($C$28&gt;0,IF(AA139&gt;$E$37,IF(AA135&lt;$E$36,AA140&amp;" beneficial","unclear; get more data"),IF(AA135&gt;25,AA136&amp;" harmful",AA138&amp;" trivial")),IF(AA135&gt;$E$37,IF(AA139&lt;$E$36,AA136&amp;" beneficial","unclear; get more data"),IF(AA139&gt;25,AA140&amp;" harmful",AA138&amp;" trivial"))))</f>
        <v>#VALUE!</v>
      </c>
      <c r="AB144" s="277" t="e">
        <f>IF(AB143&gt;$E$38,IF($C$28&gt;0,AB140,AB136)&amp;" beneficial",IF($C$28&gt;0,IF(AB139&gt;$E$37,IF(AB135&lt;$E$36,AB140&amp;" beneficial","unclear; get more data"),IF(AB135&gt;25,AB136&amp;" harmful",AB138&amp;" trivial")),IF(AB135&gt;$E$37,IF(AB139&lt;$E$36,AB136&amp;" beneficial","unclear; get more data"),IF(AB139&gt;25,AB140&amp;" harmful",AB138&amp;" trivial"))))</f>
        <v>#VALUE!</v>
      </c>
      <c r="AC144" s="277" t="e">
        <f>IF(AC143&gt;$E$38,IF($C$28&gt;0,AC140,AC136)&amp;" beneficial",IF($C$28&gt;0,IF(AC139&gt;$E$37,IF(AC135&lt;$E$36,AC140&amp;" beneficial","unclear; get more data"),IF(AC135&gt;25,AC136&amp;" harmful",AC138&amp;" trivial")),IF(AC135&gt;$E$37,IF(AC139&lt;$E$36,AC136&amp;" beneficial","unclear; get more data"),IF(AC139&gt;25,AC140&amp;" harmful",AC138&amp;" trivial"))))</f>
        <v>#VALUE!</v>
      </c>
      <c r="AD144" s="277" t="e">
        <f>IF(AD143&gt;$E$38,IF($C$28&gt;0,AD140,AD136)&amp;" beneficial",IF($C$28&gt;0,IF(AD139&gt;$E$37,IF(AD135&lt;$E$36,AD140&amp;" beneficial","unclear; get more data"),IF(AD135&gt;25,AD136&amp;" harmful",AD138&amp;" trivial")),IF(AD135&gt;$E$37,IF(AD139&lt;$E$36,AD136&amp;" beneficial","unclear; get more data"),IF(AD139&gt;25,AD140&amp;" harmful",AD138&amp;" trivial"))))</f>
        <v>#VALUE!</v>
      </c>
      <c r="AE144" s="277" t="e">
        <f>IF(AE143&gt;$E$38,IF($C$28&gt;0,AE140,AE136)&amp;" beneficial",IF($C$28&gt;0,IF(AE139&gt;$E$37,IF(AE135&lt;$E$36,AE140&amp;" beneficial","unclear; get more data"),IF(AE135&gt;25,AE136&amp;" harmful",AE138&amp;" trivial")),IF(AE135&gt;$E$37,IF(AE139&lt;$E$36,AE136&amp;" beneficial","unclear; get more data"),IF(AE139&gt;25,AE140&amp;" harmful",AE138&amp;" trivial"))))</f>
        <v>#DIV/0!</v>
      </c>
      <c r="AJ144" s="188"/>
    </row>
    <row r="145" spans="2:36" ht="12.75">
      <c r="B145" s="22"/>
      <c r="C145" s="40"/>
      <c r="D145" s="41"/>
      <c r="E145" s="41"/>
      <c r="F145" s="41"/>
      <c r="G145" s="24"/>
      <c r="H145" s="24"/>
      <c r="I145" s="22"/>
      <c r="J145" s="40"/>
      <c r="K145" s="40"/>
      <c r="L145" s="40"/>
      <c r="M145" s="40"/>
      <c r="N145" s="40"/>
      <c r="O145" s="41"/>
      <c r="R145" s="22"/>
      <c r="S145" s="40"/>
      <c r="T145" s="40"/>
      <c r="U145" s="41"/>
      <c r="V145" s="41"/>
      <c r="Y145" s="34"/>
      <c r="Z145" s="24"/>
      <c r="AA145" s="24"/>
      <c r="AB145" s="24"/>
      <c r="AC145" s="35"/>
      <c r="AD145" s="35"/>
      <c r="AE145" s="35"/>
      <c r="AJ145" s="24"/>
    </row>
    <row r="146" spans="2:42" ht="12.75">
      <c r="B146" s="385" t="s">
        <v>172</v>
      </c>
      <c r="C146" s="386"/>
      <c r="D146" s="59">
        <f>IF(ISERROR(SQRT(D94^2-D63^2)),-SQRT(D63^2-D94^2),SQRT(D94^2-D63^2))</f>
        <v>-2.118004139539833</v>
      </c>
      <c r="E146" s="59">
        <f>IF(ISERROR(SQRT(E94^2-E63^2)),-SQRT(E63^2-E94^2),SQRT(E94^2-E63^2))</f>
        <v>-7.1239818830905515</v>
      </c>
      <c r="F146" s="59">
        <f>IF(ISERROR(SQRT(F94^2-F63^2)),-SQRT(F63^2-F94^2),SQRT(F94^2-F63^2))</f>
        <v>7.653244453612595</v>
      </c>
      <c r="G146" s="29"/>
      <c r="H146" s="29"/>
      <c r="I146" s="385" t="s">
        <v>138</v>
      </c>
      <c r="J146" s="386"/>
      <c r="K146" s="67">
        <f>IF(ISERROR(SQRT(K94^2-K63^2)),-SQRT(K63^2-K94^2),SQRT(K94^2-K63^2))</f>
        <v>6.749266301517288</v>
      </c>
      <c r="L146" s="67">
        <f>IF(ISERROR(SQRT(L94^2-L63^2)),-SQRT(L63^2-L94^2),SQRT(L94^2-L63^2))</f>
        <v>10.026357792485356</v>
      </c>
      <c r="M146" s="80">
        <f>IF(ISERROR(SQRT(M94^2-M63^2)),-SQRT(M63^2-M94^2),SQRT(M94^2-M63^2))</f>
        <v>15.50087196353765</v>
      </c>
      <c r="N146" s="80">
        <f>IF(ISERROR(SQRT(N94^2-N63^2)),-SQRT(N63^2-N94^2),SQRT(N94^2-N63^2))</f>
        <v>10.818375531497162</v>
      </c>
      <c r="O146" s="80" t="e">
        <f>IF(ISERROR(SQRT(O94^2-O63^2)),-SQRT(O63^2-O94^2),SQRT(O94^2-O63^2))</f>
        <v>#DIV/0!</v>
      </c>
      <c r="R146" s="385" t="s">
        <v>176</v>
      </c>
      <c r="S146" s="386"/>
      <c r="T146" s="37"/>
      <c r="U146" s="59">
        <f aca="true" t="shared" si="63" ref="U146:V148">100*EXP(U258/100)-100</f>
        <v>-0.37897882614896616</v>
      </c>
      <c r="V146" s="59">
        <f t="shared" si="63"/>
        <v>2.5243552700127765</v>
      </c>
      <c r="Y146" s="385" t="s">
        <v>144</v>
      </c>
      <c r="Z146" s="386"/>
      <c r="AA146" s="59">
        <f aca="true" t="shared" si="64" ref="AA146:AE148">100*EXP(AA258/100)-100</f>
        <v>1.8619955997774866</v>
      </c>
      <c r="AB146" s="16">
        <f t="shared" si="64"/>
        <v>2.347115035426242</v>
      </c>
      <c r="AC146" s="16">
        <f t="shared" si="64"/>
        <v>4.004159885681219</v>
      </c>
      <c r="AD146" s="16">
        <f t="shared" si="64"/>
        <v>2.7492795499329787</v>
      </c>
      <c r="AE146" s="16" t="e">
        <f t="shared" si="64"/>
        <v>#DIV/0!</v>
      </c>
      <c r="AJ146" s="39"/>
      <c r="AP146" s="1"/>
    </row>
    <row r="147" spans="2:41" ht="12.75" customHeight="1">
      <c r="B147" s="377" t="s">
        <v>143</v>
      </c>
      <c r="C147" s="23" t="s">
        <v>9</v>
      </c>
      <c r="D147" s="60">
        <f>IF(ISERROR(SQRT(D94^2-D63^2+NORMINV(0.5-D127/200,0,1)*SQRT(2*D63^4/D65+2*D94^4/D96))),-SQRT(-(D94^2-D63^2+NORMINV(0.5-D127/200,0,1)*SQRT(2*D63^4/D65+2*D94^4/D96))),SQRT(D94^2-D63^2+NORMINV(0.5-D127/200,0,1)*SQRT(2*D63^4/D65+2*D94^4/D96)))</f>
        <v>-3.61530932687979</v>
      </c>
      <c r="E147" s="60">
        <f>IF(ISERROR(SQRT(E94^2-E63^2+NORMINV(0.5-E127/200,0,1)*SQRT(2*E63^4/E65+2*E94^4/E96))),-SQRT(-(E94^2-E63^2+NORMINV(0.5-E127/200,0,1)*SQRT(2*E63^4/E65+2*E94^4/E96))),SQRT(E94^2-E63^2+NORMINV(0.5-E127/200,0,1)*SQRT(2*E63^4/E65+2*E94^4/E96)))</f>
        <v>-19.86178712662297</v>
      </c>
      <c r="F147" s="60">
        <f>IF(ISERROR(SQRT(F94^2-F63^2+NORMINV(0.5-F127/200,0,1)*SQRT(2*F63^4/F65+2*F94^4/F96))),-SQRT(-(F94^2-F63^2+NORMINV(0.5-F127/200,0,1)*SQRT(2*F63^4/F65+2*F94^4/F96))),SQRT(F94^2-F63^2+NORMINV(0.5-F127/200,0,1)*SQRT(2*F63^4/F65+2*F94^4/F96)))</f>
        <v>-17.323335315913198</v>
      </c>
      <c r="G147" s="83"/>
      <c r="H147" s="83"/>
      <c r="I147" s="377" t="s">
        <v>143</v>
      </c>
      <c r="J147" s="23" t="s">
        <v>9</v>
      </c>
      <c r="K147" s="60">
        <f>IF(ISERROR(SQRT(K94^2-K63^2+NORMINV(0.5-K127/200,0,1)*SQRT(2*K63^4/K65+2*K94^4/K96))),-SQRT(-(K94^2-K63^2+NORMINV(0.5-K127/200,0,1)*SQRT(2*K63^4/K65+2*K94^4/K96))),SQRT(K94^2-K63^2+NORMINV(0.5-K127/200,0,1)*SQRT(2*K63^4/K65+2*K94^4/K96)))</f>
        <v>-9.28580146725891</v>
      </c>
      <c r="L147" s="60">
        <f>IF(ISERROR(SQRT(L94^2-L63^2+NORMINV(0.5-L127/200,0,1)*SQRT(2*L63^4/L65+2*L94^4/L96))),-SQRT(-(L94^2-L63^2+NORMINV(0.5-L127/200,0,1)*SQRT(2*L63^4/L65+2*L94^4/L96))),SQRT(L94^2-L63^2+NORMINV(0.5-L127/200,0,1)*SQRT(2*L63^4/L65+2*L94^4/L96)))</f>
        <v>-6.404822933849872</v>
      </c>
      <c r="M147" s="60">
        <f>IF(ISERROR(SQRT(M94^2-M63^2+NORMINV(0.5-M127/200,0,1)*SQRT(2*M63^4/M65+2*M94^4/M96))),-SQRT(-(M94^2-M63^2+NORMINV(0.5-M127/200,0,1)*SQRT(2*M63^4/M65+2*M94^4/M96))),SQRT(M94^2-M63^2+NORMINV(0.5-M127/200,0,1)*SQRT(2*M63^4/M65+2*M94^4/M96)))</f>
        <v>7.7026245615208495</v>
      </c>
      <c r="N147" s="60">
        <f>IF(ISERROR(SQRT(N94^2-N63^2+NORMINV(0.5-N127/200,0,1)*SQRT(2*N63^4/N65+2*N94^4/N96))),-SQRT(-(N94^2-N63^2+NORMINV(0.5-N127/200,0,1)*SQRT(2*N63^4/N65+2*N94^4/N96))),SQRT(N94^2-N63^2+NORMINV(0.5-N127/200,0,1)*SQRT(2*N63^4/N65+2*N94^4/N96)))</f>
        <v>-8.236433891171615</v>
      </c>
      <c r="O147" s="60" t="e">
        <f>IF(ISERROR(SQRT(O94^2-O63^2+NORMINV(0.5-O127/200,0,1)*SQRT(2*O63^4/O65+2*O94^4/O96))),-SQRT(-(O94^2-O63^2+NORMINV(0.5-O127/200,0,1)*SQRT(2*O63^4/O65+2*O94^4/O96))),SQRT(O94^2-O63^2+NORMINV(0.5-O127/200,0,1)*SQRT(2*O63^4/O65+2*O94^4/O96)))</f>
        <v>#DIV/0!</v>
      </c>
      <c r="R147" s="427" t="s">
        <v>143</v>
      </c>
      <c r="S147" s="23" t="s">
        <v>9</v>
      </c>
      <c r="T147" s="23"/>
      <c r="U147" s="60">
        <f t="shared" si="63"/>
        <v>-4.6294194265941115</v>
      </c>
      <c r="V147" s="60">
        <f t="shared" si="63"/>
        <v>-4.019048553680179</v>
      </c>
      <c r="Y147" s="427" t="s">
        <v>143</v>
      </c>
      <c r="Z147" s="23" t="s">
        <v>9</v>
      </c>
      <c r="AA147" s="60">
        <f t="shared" si="64"/>
        <v>-2.1777135505143974</v>
      </c>
      <c r="AB147" s="73">
        <f t="shared" si="64"/>
        <v>-1.7410042370792809</v>
      </c>
      <c r="AC147" s="73">
        <f t="shared" si="64"/>
        <v>2.050171293850184</v>
      </c>
      <c r="AD147" s="73">
        <f t="shared" si="64"/>
        <v>-1.946359038514231</v>
      </c>
      <c r="AE147" s="73" t="e">
        <f t="shared" si="64"/>
        <v>#DIV/0!</v>
      </c>
      <c r="AJ147" s="90"/>
      <c r="AO147" s="1"/>
    </row>
    <row r="148" spans="2:41" ht="12.75" customHeight="1">
      <c r="B148" s="378"/>
      <c r="C148" s="12" t="s">
        <v>10</v>
      </c>
      <c r="D148" s="61">
        <f>IF(ISERROR(SQRT(D94^2-D63^2+NORMINV(0.5+D127/200,0,1)*SQRT(2*D63^4/D65+2*D94^4/D96))),-SQRT(-(D94^2-D63^2+NORMINV(0.5+D127/200,0,1)*SQRT(2*D63^4/D65+2*D94^4/D96))),SQRT(D94^2-D63^2+NORMINV(0.5+D127/200,0,1)*SQRT(2*D63^4/D65+2*D94^4/D96)))</f>
        <v>2.0244946181228185</v>
      </c>
      <c r="E148" s="61">
        <f>IF(ISERROR(SQRT(E94^2-E63^2+NORMINV(0.5+E127/200,0,1)*SQRT(2*E63^4/E65+2*E94^4/E96))),-SQRT(-(E94^2-E63^2+NORMINV(0.5+E127/200,0,1)*SQRT(2*E63^4/E65+2*E94^4/E96))),SQRT(E94^2-E63^2+NORMINV(0.5+E127/200,0,1)*SQRT(2*E63^4/E65+2*E94^4/E96)))</f>
        <v>17.116902527095284</v>
      </c>
      <c r="F148" s="61">
        <f>IF(ISERROR(SQRT(F94^2-F63^2+NORMINV(0.5+F127/200,0,1)*SQRT(2*F63^4/F65+2*F94^4/F96))),-SQRT(-(F94^2-F63^2+NORMINV(0.5+F127/200,0,1)*SQRT(2*F63^4/F65+2*F94^4/F96))),SQRT(F94^2-F63^2+NORMINV(0.5+F127/200,0,1)*SQRT(2*F63^4/F65+2*F94^4/F96)))</f>
        <v>20.42650845839957</v>
      </c>
      <c r="G148" s="24"/>
      <c r="H148" s="24"/>
      <c r="I148" s="378"/>
      <c r="J148" s="12" t="s">
        <v>10</v>
      </c>
      <c r="K148" s="61">
        <f>IF(ISERROR(SQRT(K94^2-K63^2+NORMINV(0.5+K127/200,0,1)*SQRT(2*K63^4/K65+2*K94^4/K96))),-SQRT(-(K94^2-K63^2+NORMINV(0.5+K127/200,0,1)*SQRT(2*K63^4/K65+2*K94^4/K96))),SQRT(K94^2-K63^2+NORMINV(0.5+K127/200,0,1)*SQRT(2*K63^4/K65+2*K94^4/K96)))</f>
        <v>13.316579895263697</v>
      </c>
      <c r="L148" s="61">
        <f>IF(ISERROR(SQRT(L94^2-L63^2+NORMINV(0.5+L127/200,0,1)*SQRT(2*L63^4/L65+2*L94^4/L96))),-SQRT(-(L94^2-L63^2+NORMINV(0.5+L127/200,0,1)*SQRT(2*L63^4/L65+2*L94^4/L96))),SQRT(L94^2-L63^2+NORMINV(0.5+L127/200,0,1)*SQRT(2*L63^4/L65+2*L94^4/L96)))</f>
        <v>15.558838580685668</v>
      </c>
      <c r="M148" s="61">
        <f>IF(ISERROR(SQRT(M94^2-M63^2+NORMINV(0.5+M127/200,0,1)*SQRT(2*M63^4/M65+2*M94^4/M96))),-SQRT(-(M94^2-M63^2+NORMINV(0.5+M127/200,0,1)*SQRT(2*M63^4/M65+2*M94^4/M96))),SQRT(M94^2-M63^2+NORMINV(0.5+M127/200,0,1)*SQRT(2*M63^4/M65+2*M94^4/M96)))</f>
        <v>20.523733532772024</v>
      </c>
      <c r="N148" s="61">
        <f>IF(ISERROR(SQRT(N94^2-N63^2+NORMINV(0.5+N127/200,0,1)*SQRT(2*N63^4/N65+2*N94^4/N96))),-SQRT(-(N94^2-N63^2+NORMINV(0.5+N127/200,0,1)*SQRT(2*N63^4/N65+2*N94^4/N96))),SQRT(N94^2-N63^2+NORMINV(0.5+N127/200,0,1)*SQRT(2*N63^4/N65+2*N94^4/N96)))</f>
        <v>17.37565370064198</v>
      </c>
      <c r="O148" s="61" t="e">
        <f>IF(ISERROR(SQRT(O94^2-O63^2+NORMINV(0.5+O127/200,0,1)*SQRT(2*O63^4/O65+2*O94^4/O96))),-SQRT(-(O94^2-O63^2+NORMINV(0.5+O127/200,0,1)*SQRT(2*O63^4/O65+2*O94^4/O96))),SQRT(O94^2-O63^2+NORMINV(0.5+O127/200,0,1)*SQRT(2*O63^4/O65+2*O94^4/O96)))</f>
        <v>#DIV/0!</v>
      </c>
      <c r="R148" s="428"/>
      <c r="S148" s="12" t="s">
        <v>10</v>
      </c>
      <c r="T148" s="12"/>
      <c r="U148" s="64">
        <f t="shared" si="63"/>
        <v>4.822147461617774</v>
      </c>
      <c r="V148" s="64">
        <f t="shared" si="63"/>
        <v>5.5579380915689</v>
      </c>
      <c r="Y148" s="428"/>
      <c r="Z148" s="12" t="s">
        <v>10</v>
      </c>
      <c r="AA148" s="64">
        <f t="shared" si="64"/>
        <v>3.472874757978147</v>
      </c>
      <c r="AB148" s="74">
        <f t="shared" si="64"/>
        <v>3.791601446628505</v>
      </c>
      <c r="AC148" s="74">
        <f t="shared" si="64"/>
        <v>5.303996487880141</v>
      </c>
      <c r="AD148" s="74">
        <f t="shared" si="64"/>
        <v>4.404104761360458</v>
      </c>
      <c r="AE148" s="74" t="e">
        <f t="shared" si="64"/>
        <v>#DIV/0!</v>
      </c>
      <c r="AJ148" s="90"/>
      <c r="AO148" s="1"/>
    </row>
    <row r="149" spans="7:8" s="116" customFormat="1" ht="12.75" customHeight="1">
      <c r="G149" s="117"/>
      <c r="H149" s="117"/>
    </row>
    <row r="150" spans="2:43" ht="12.75">
      <c r="B150" s="116" t="s">
        <v>4</v>
      </c>
      <c r="I150" s="116" t="s">
        <v>4</v>
      </c>
      <c r="R150" s="116" t="s">
        <v>5</v>
      </c>
      <c r="U150" s="116" t="str">
        <f>CONCATENATE($B$73,"-",$B$42," difference")</f>
        <v>Exptal-Control difference</v>
      </c>
      <c r="V150" s="116"/>
      <c r="Y150" s="116" t="s">
        <v>5</v>
      </c>
      <c r="AA150" s="116" t="str">
        <f>CONCATENATE($B$73,"-",$B$42," difference")</f>
        <v>Exptal-Control difference</v>
      </c>
      <c r="AH150" s="116" t="s">
        <v>102</v>
      </c>
      <c r="AK150" s="116" t="str">
        <f>CONCATENATE($B$73,"-",$B$42," difference")</f>
        <v>Exptal-Control difference</v>
      </c>
      <c r="AL150" s="116"/>
      <c r="AO150" s="116" t="s">
        <v>102</v>
      </c>
      <c r="AQ150" s="116" t="str">
        <f>CONCATENATE($B$73,"-",$B$42," difference")</f>
        <v>Exptal-Control difference</v>
      </c>
    </row>
    <row r="151" spans="2:47" s="120" customFormat="1" ht="30" customHeight="1">
      <c r="B151" s="425" t="s">
        <v>213</v>
      </c>
      <c r="C151" s="426"/>
      <c r="D151" s="207"/>
      <c r="E151" s="251"/>
      <c r="F151" s="251"/>
      <c r="I151" s="379" t="s">
        <v>212</v>
      </c>
      <c r="J151" s="380"/>
      <c r="K151" s="252"/>
      <c r="L151" s="252"/>
      <c r="M151" s="252"/>
      <c r="N151" s="252"/>
      <c r="O151" s="252"/>
      <c r="R151" s="423" t="s">
        <v>131</v>
      </c>
      <c r="S151" s="424"/>
      <c r="T151" s="206"/>
      <c r="U151" s="125" t="str">
        <f>U41</f>
        <v>Pre1</v>
      </c>
      <c r="V151" s="125" t="str">
        <f>V41</f>
        <v>Pre2</v>
      </c>
      <c r="Y151" s="379" t="s">
        <v>17</v>
      </c>
      <c r="Z151" s="380"/>
      <c r="AA151" s="125" t="str">
        <f>AA41</f>
        <v>Pre2-Pre1</v>
      </c>
      <c r="AB151" s="125" t="str">
        <f>AB41</f>
        <v>Post1-Pre2</v>
      </c>
      <c r="AC151" s="125" t="str">
        <f>AC41</f>
        <v>Post2-Pre2</v>
      </c>
      <c r="AD151" s="125" t="str">
        <f>AD41</f>
        <v>Post2-Post1</v>
      </c>
      <c r="AE151" s="125" t="str">
        <f>AE41</f>
        <v>other effect</v>
      </c>
      <c r="AH151" s="425" t="s">
        <v>214</v>
      </c>
      <c r="AI151" s="426"/>
      <c r="AJ151" s="206"/>
      <c r="AK151" s="125" t="str">
        <f>AK41</f>
        <v>Pre1</v>
      </c>
      <c r="AL151" s="125" t="str">
        <f>AL41</f>
        <v>Pre2</v>
      </c>
      <c r="AO151" s="379" t="s">
        <v>48</v>
      </c>
      <c r="AP151" s="380"/>
      <c r="AQ151" s="125" t="str">
        <f>AQ41</f>
        <v>Pre2-Pre1</v>
      </c>
      <c r="AR151" s="125" t="str">
        <f>AR41</f>
        <v>Post1-Pre2</v>
      </c>
      <c r="AS151" s="125" t="str">
        <f>AS41</f>
        <v>Post2-Pre2</v>
      </c>
      <c r="AT151" s="125" t="str">
        <f>AT41</f>
        <v>Post2-Post1</v>
      </c>
      <c r="AU151" s="125" t="str">
        <f>AU41</f>
        <v>other effect</v>
      </c>
    </row>
    <row r="152" spans="2:47" s="349" customFormat="1" ht="12.75">
      <c r="B152" s="55"/>
      <c r="C152" s="55"/>
      <c r="D152" s="352"/>
      <c r="R152" s="350"/>
      <c r="S152" s="347" t="s">
        <v>142</v>
      </c>
      <c r="T152" s="351"/>
      <c r="U152" s="348">
        <f>$E$35</f>
        <v>90</v>
      </c>
      <c r="V152" s="348">
        <f>$E$35</f>
        <v>90</v>
      </c>
      <c r="Y152" s="350"/>
      <c r="Z152" s="347" t="s">
        <v>142</v>
      </c>
      <c r="AA152" s="348">
        <f>$E$35</f>
        <v>90</v>
      </c>
      <c r="AB152" s="348">
        <f>$E$35</f>
        <v>90</v>
      </c>
      <c r="AC152" s="348">
        <f>$E$35</f>
        <v>90</v>
      </c>
      <c r="AD152" s="348">
        <f>$E$35</f>
        <v>90</v>
      </c>
      <c r="AE152" s="348">
        <f>$E$35</f>
        <v>90</v>
      </c>
      <c r="AH152" s="350"/>
      <c r="AI152" s="347" t="s">
        <v>142</v>
      </c>
      <c r="AJ152" s="351"/>
      <c r="AK152" s="348">
        <f>$E$35</f>
        <v>90</v>
      </c>
      <c r="AL152" s="348">
        <f>$E$35</f>
        <v>90</v>
      </c>
      <c r="AO152" s="350"/>
      <c r="AP152" s="347" t="s">
        <v>142</v>
      </c>
      <c r="AQ152" s="348">
        <f>$E$35</f>
        <v>90</v>
      </c>
      <c r="AR152" s="348">
        <f>$E$35</f>
        <v>90</v>
      </c>
      <c r="AS152" s="348">
        <f>$E$35</f>
        <v>90</v>
      </c>
      <c r="AT152" s="348">
        <f>$E$35</f>
        <v>90</v>
      </c>
      <c r="AU152" s="348">
        <f>$E$35</f>
        <v>90</v>
      </c>
    </row>
    <row r="153" spans="4:47" ht="12.75">
      <c r="D153" s="188"/>
      <c r="R153" s="22"/>
      <c r="S153" s="25" t="s">
        <v>141</v>
      </c>
      <c r="T153" s="128"/>
      <c r="U153" s="20">
        <f>U122</f>
        <v>37.99977430695131</v>
      </c>
      <c r="V153" s="20">
        <f>V122</f>
        <v>37.606313604722494</v>
      </c>
      <c r="Y153" s="22"/>
      <c r="Z153" s="25" t="s">
        <v>141</v>
      </c>
      <c r="AA153" s="28">
        <f>AA122</f>
        <v>37.07934305852209</v>
      </c>
      <c r="AB153" s="33">
        <f>AB122</f>
        <v>35.81343177081094</v>
      </c>
      <c r="AC153" s="33">
        <f>AC122</f>
        <v>27.923429077369057</v>
      </c>
      <c r="AD153" s="33">
        <f>AD122</f>
        <v>35.673927338573336</v>
      </c>
      <c r="AE153" s="33" t="e">
        <f>AE122</f>
        <v>#DIV/0!</v>
      </c>
      <c r="AH153" s="22"/>
      <c r="AI153" s="25" t="s">
        <v>141</v>
      </c>
      <c r="AJ153" s="128"/>
      <c r="AK153" s="18">
        <f>AK122</f>
        <v>36.104930871492016</v>
      </c>
      <c r="AL153" s="20">
        <f>AL122</f>
        <v>37.79355930033655</v>
      </c>
      <c r="AO153" s="22"/>
      <c r="AP153" s="25" t="s">
        <v>141</v>
      </c>
      <c r="AQ153" s="28">
        <f>AQ122</f>
        <v>37.81475814994696</v>
      </c>
      <c r="AR153" s="33">
        <f>AR122</f>
        <v>35.524762894003075</v>
      </c>
      <c r="AS153" s="33">
        <f>AS122</f>
        <v>28.56568413157734</v>
      </c>
      <c r="AT153" s="33">
        <f>AT122</f>
        <v>36.55974852738329</v>
      </c>
      <c r="AU153" s="33" t="e">
        <f>AU122</f>
        <v>#DIV/0!</v>
      </c>
    </row>
    <row r="154" spans="4:47" ht="12.75">
      <c r="D154" s="94"/>
      <c r="R154" s="22"/>
      <c r="S154" s="8" t="s">
        <v>146</v>
      </c>
      <c r="T154" s="186"/>
      <c r="U154" s="43">
        <f aca="true" t="shared" si="65" ref="U154:V156">EXP(U245/100)</f>
        <v>0.9646438112550291</v>
      </c>
      <c r="V154" s="43">
        <f t="shared" si="65"/>
        <v>0.9797870619990775</v>
      </c>
      <c r="Y154" s="22"/>
      <c r="Z154" s="8" t="s">
        <v>146</v>
      </c>
      <c r="AA154" s="43">
        <f>EXP(AA245/100)</f>
        <v>1.0156982821714755</v>
      </c>
      <c r="AB154" s="43">
        <f>EXP(AB117/100)</f>
        <v>1.0169296596704471</v>
      </c>
      <c r="AC154" s="43">
        <f>EXP(AC117/100)</f>
        <v>1.0105210639900921</v>
      </c>
      <c r="AD154" s="43">
        <f>EXP(AD117/100)</f>
        <v>0.9936980934527647</v>
      </c>
      <c r="AE154" s="43" t="e">
        <f>EXP(AE117/100)</f>
        <v>#DIV/0!</v>
      </c>
      <c r="AH154" s="22"/>
      <c r="AI154" s="31" t="s">
        <v>140</v>
      </c>
      <c r="AJ154" s="186"/>
      <c r="AK154" s="17">
        <f>PERCENTILE(allraw,(100*PERCENTRANK(allraw,AK170)+AK245)/100)-PERCENTILE(allraw,100*PERCENTRANK(allraw,AK170)/100)</f>
        <v>-13.753724240460429</v>
      </c>
      <c r="AL154" s="17">
        <f>PERCENTILE(allraw,(100*PERCENTRANK(allraw,AL170)+AL245)/100)-PERCENTILE(allraw,100*PERCENTRANK(allraw,AL170)/100)</f>
        <v>-7.661495175852053</v>
      </c>
      <c r="AO154" s="22"/>
      <c r="AP154" s="31" t="s">
        <v>140</v>
      </c>
      <c r="AQ154" s="17">
        <f>PERCENTILE(allraw,(100*PERCENTRANK(allraw,AQ170)+AQ245)/100)-AQ170</f>
        <v>5.517414001017357</v>
      </c>
      <c r="AR154" s="17">
        <f>PERCENTILE(allraw,(100*PERCENTRANK(allraw,AR170)+AR245)/100)-PERCENTILE(allraw,100*PERCENTRANK(allraw,AR170)/100)</f>
        <v>2.8801269515815875</v>
      </c>
      <c r="AS154" s="17">
        <f>PERCENTILE(allraw,(100*PERCENTRANK(allraw,AS170)+AS245)/100)-PERCENTILE(allraw,100*PERCENTRANK(allraw,AS170)/100)</f>
        <v>2.215571681355982</v>
      </c>
      <c r="AT154" s="17">
        <f>PERCENTILE(allraw,(100*PERCENTRANK(allraw,AT170)+AT245)/100)-PERCENTILE(allraw,100*PERCENTRANK(allraw,AT170)/100)</f>
        <v>-2.6038090748172067</v>
      </c>
      <c r="AU154" s="17" t="e">
        <f>PERCENTILE(allraw,(100*PERCENTRANK(allraw,AU170)+AU245)/100)-PERCENTILE(allraw,100*PERCENTRANK(allraw,AU170)/100)</f>
        <v>#DIV/0!</v>
      </c>
    </row>
    <row r="155" spans="2:47" s="55" customFormat="1" ht="12.75" customHeight="1">
      <c r="B155" s="53"/>
      <c r="C155" s="53"/>
      <c r="D155" s="90"/>
      <c r="E155" s="53"/>
      <c r="F155" s="53"/>
      <c r="G155" s="53"/>
      <c r="H155" s="53"/>
      <c r="I155" s="53"/>
      <c r="J155" s="53"/>
      <c r="K155" s="53"/>
      <c r="L155" s="53"/>
      <c r="M155" s="53"/>
      <c r="N155" s="53"/>
      <c r="O155" s="53"/>
      <c r="R155" s="417" t="s">
        <v>147</v>
      </c>
      <c r="S155" s="42" t="s">
        <v>9</v>
      </c>
      <c r="T155" s="42"/>
      <c r="U155" s="62">
        <f t="shared" si="65"/>
        <v>0.9370564171122906</v>
      </c>
      <c r="V155" s="62">
        <f t="shared" si="65"/>
        <v>0.9513987054160554</v>
      </c>
      <c r="Y155" s="417" t="s">
        <v>147</v>
      </c>
      <c r="Z155" s="42" t="s">
        <v>9</v>
      </c>
      <c r="AA155" s="62">
        <f>EXP(AA246/100)</f>
        <v>0.9980455376370212</v>
      </c>
      <c r="AB155" s="62">
        <f aca="true" t="shared" si="66" ref="AB155:AE156">EXP(AB246/100)</f>
        <v>0.9991555839454035</v>
      </c>
      <c r="AC155" s="62">
        <f t="shared" si="66"/>
        <v>0.9912121393114929</v>
      </c>
      <c r="AD155" s="62">
        <f t="shared" si="66"/>
        <v>0.9737515029238714</v>
      </c>
      <c r="AE155" s="62" t="e">
        <f t="shared" si="66"/>
        <v>#DIV/0!</v>
      </c>
      <c r="AH155" s="417" t="s">
        <v>147</v>
      </c>
      <c r="AI155" s="23" t="s">
        <v>9</v>
      </c>
      <c r="AJ155" s="42"/>
      <c r="AK155" s="60">
        <f>PERCENTILE(allraw,(100*PERCENTRANK(allraw,AK170)+AK246)/100)-AK170</f>
        <v>-25.089342984035397</v>
      </c>
      <c r="AL155" s="60">
        <f>PERCENTILE(allraw,(100*PERCENTRANK(allraw,AL170)+AL246)/100)-AL170</f>
        <v>-17.430486507041223</v>
      </c>
      <c r="AM155"/>
      <c r="AN155"/>
      <c r="AO155" s="417" t="s">
        <v>147</v>
      </c>
      <c r="AP155" s="23" t="s">
        <v>9</v>
      </c>
      <c r="AQ155" s="60">
        <f>PERCENTILE(allraw,(100*PERCENTRANK(allraw,AQ170)+AQ246)/100)-AQ170</f>
        <v>-1.917138313489943</v>
      </c>
      <c r="AR155" s="60">
        <f>PERCENTILE(allraw,(100*PERCENTRANK(allraw,AR170)+AR246)/100)-AR170</f>
        <v>-3.2778725691254067</v>
      </c>
      <c r="AS155" s="60">
        <f>PERCENTILE(allraw,(100*PERCENTRANK(allraw,AS170)+AS246)/100)-AS170</f>
        <v>-6.639617656702455</v>
      </c>
      <c r="AT155" s="60">
        <f>PERCENTILE(allraw,(100*PERCENTRANK(allraw,AT170)+AT246)/100)-AT170</f>
        <v>-11.496284621412656</v>
      </c>
      <c r="AU155" s="60" t="e">
        <f>PERCENTILE(allraw,(100*PERCENTRANK(allraw,AU170)+AU246)/100)-AU170</f>
        <v>#DIV/0!</v>
      </c>
    </row>
    <row r="156" spans="2:47" s="55" customFormat="1" ht="12.75">
      <c r="B156" s="53"/>
      <c r="C156" s="53"/>
      <c r="D156" s="90"/>
      <c r="E156" s="53"/>
      <c r="F156" s="53"/>
      <c r="G156" s="53"/>
      <c r="H156" s="53"/>
      <c r="I156" s="53"/>
      <c r="J156" s="53"/>
      <c r="K156" s="53"/>
      <c r="L156" s="53"/>
      <c r="M156" s="53"/>
      <c r="N156" s="53"/>
      <c r="O156" s="53"/>
      <c r="R156" s="418"/>
      <c r="S156" s="12" t="s">
        <v>10</v>
      </c>
      <c r="T156" s="12"/>
      <c r="U156" s="63">
        <f t="shared" si="65"/>
        <v>0.9930433916244328</v>
      </c>
      <c r="V156" s="63">
        <f t="shared" si="65"/>
        <v>1.009022485941869</v>
      </c>
      <c r="Y156" s="418"/>
      <c r="Z156" s="12" t="s">
        <v>10</v>
      </c>
      <c r="AA156" s="63">
        <f>EXP(AA247/100)</f>
        <v>1.0336632563365902</v>
      </c>
      <c r="AB156" s="63">
        <f t="shared" si="66"/>
        <v>1.035019920154857</v>
      </c>
      <c r="AC156" s="63">
        <f t="shared" si="66"/>
        <v>1.0302061287071929</v>
      </c>
      <c r="AD156" s="63">
        <f t="shared" si="66"/>
        <v>1.0140532753651195</v>
      </c>
      <c r="AE156" s="63" t="e">
        <f t="shared" si="66"/>
        <v>#DIV/0!</v>
      </c>
      <c r="AH156" s="418"/>
      <c r="AI156" s="12" t="s">
        <v>10</v>
      </c>
      <c r="AJ156" s="12"/>
      <c r="AK156" s="64">
        <f>PERCENTILE(allraw,(100*PERCENTRANK(allraw,AK170)+AK247)/100)-AK170</f>
        <v>-3.276695826219111</v>
      </c>
      <c r="AL156" s="64">
        <f>PERCENTILE(allraw,(100*PERCENTRANK(allraw,AL170)+AL247)/100)-AL170</f>
        <v>2.416205715738897</v>
      </c>
      <c r="AM156"/>
      <c r="AN156"/>
      <c r="AO156" s="418"/>
      <c r="AP156" s="12" t="s">
        <v>10</v>
      </c>
      <c r="AQ156" s="64">
        <f>PERCENTILE(allraw,(100*PERCENTRANK(allraw,AQ170)+AQ247)/100)-AQ170</f>
        <v>11.691058782841878</v>
      </c>
      <c r="AR156" s="64">
        <f>PERCENTILE(allraw,(100*PERCENTRANK(allraw,AR170)+AR247)/100)-AR170</f>
        <v>9.702321259839152</v>
      </c>
      <c r="AS156" s="64">
        <f>PERCENTILE(allraw,(100*PERCENTRANK(allraw,AS170)+AS247)/100)-AS170</f>
        <v>8.190558153760605</v>
      </c>
      <c r="AT156" s="64">
        <f>PERCENTILE(allraw,(100*PERCENTRANK(allraw,AT170)+AT247)/100)-AT170</f>
        <v>5.1853185273747044</v>
      </c>
      <c r="AU156" s="64" t="e">
        <f>PERCENTILE(allraw,(100*PERCENTRANK(allraw,AU170)+AU247)/100)-AU170</f>
        <v>#DIV/0!</v>
      </c>
    </row>
    <row r="157" spans="2:47" s="55" customFormat="1" ht="15">
      <c r="B157" s="53"/>
      <c r="C157" s="53"/>
      <c r="D157" s="115"/>
      <c r="E157" s="53"/>
      <c r="F157" s="53"/>
      <c r="G157" s="53"/>
      <c r="H157" s="53"/>
      <c r="I157" s="53"/>
      <c r="J157" s="53"/>
      <c r="K157" s="53"/>
      <c r="L157" s="53"/>
      <c r="M157" s="53"/>
      <c r="N157" s="53"/>
      <c r="O157" s="53"/>
      <c r="R157" s="419"/>
      <c r="S157" s="13" t="s">
        <v>25</v>
      </c>
      <c r="T157" s="13"/>
      <c r="U157" s="66">
        <f>SQRT(U156/U155)</f>
        <v>1.0294404836666655</v>
      </c>
      <c r="V157" s="66">
        <f>SQRT(V156/V155)</f>
        <v>1.0298385486772421</v>
      </c>
      <c r="Y157" s="419"/>
      <c r="Z157" s="13" t="s">
        <v>25</v>
      </c>
      <c r="AA157" s="66">
        <f>SQRT(AA156/AA155)</f>
        <v>1.017687313723429</v>
      </c>
      <c r="AB157" s="66">
        <f>SQRT(AB156/AB155)</f>
        <v>1.017789097124252</v>
      </c>
      <c r="AC157" s="66">
        <f>SQRT(AC156/AC155)</f>
        <v>1.0194801131995936</v>
      </c>
      <c r="AD157" s="66">
        <f>SQRT(AD156/AD155)</f>
        <v>1.0204842718794271</v>
      </c>
      <c r="AE157" s="66" t="e">
        <f>SQRT(AE156/AE155)</f>
        <v>#DIV/0!</v>
      </c>
      <c r="AH157" s="419"/>
      <c r="AI157" s="13" t="s">
        <v>11</v>
      </c>
      <c r="AJ157" s="13"/>
      <c r="AK157" s="67">
        <f>(AK156-AK155)/2</f>
        <v>10.906323578908143</v>
      </c>
      <c r="AL157" s="67">
        <f>(AL156-AL155)/2</f>
        <v>9.92334611139006</v>
      </c>
      <c r="AM157"/>
      <c r="AN157"/>
      <c r="AO157" s="419"/>
      <c r="AP157" s="13" t="s">
        <v>11</v>
      </c>
      <c r="AQ157" s="67">
        <f>(AQ156-AQ155)/2</f>
        <v>6.804098548165911</v>
      </c>
      <c r="AR157" s="67">
        <f>(AR156-AR155)/2</f>
        <v>6.4900969144822795</v>
      </c>
      <c r="AS157" s="67">
        <f>(AS156-AS155)/2</f>
        <v>7.41508790523153</v>
      </c>
      <c r="AT157" s="67">
        <f>(AT156-AT155)/2</f>
        <v>8.34080157439368</v>
      </c>
      <c r="AU157" s="67" t="e">
        <f>(AU156-AU155)/2</f>
        <v>#DIV/0!</v>
      </c>
    </row>
    <row r="158" spans="2:47" s="55" customFormat="1" ht="12.75" customHeight="1">
      <c r="B158" s="53"/>
      <c r="C158" s="53"/>
      <c r="D158" s="189"/>
      <c r="E158" s="53"/>
      <c r="F158" s="53"/>
      <c r="G158" s="53"/>
      <c r="H158" s="53"/>
      <c r="I158" s="53"/>
      <c r="J158" s="53"/>
      <c r="K158" s="53"/>
      <c r="L158" s="53"/>
      <c r="M158" s="53"/>
      <c r="N158" s="53"/>
      <c r="O158" s="53"/>
      <c r="R158" s="371" t="s">
        <v>189</v>
      </c>
      <c r="S158" s="306" t="str">
        <f>"&gt; or "&amp;IF($C$29&gt;1,"harmful","beneficial")</f>
        <v>&gt; or beneficial</v>
      </c>
      <c r="T158" s="68"/>
      <c r="U158" s="260">
        <f>IF(ISBLANK($C$29),"",MAX($C$29,$D$29))</f>
      </c>
      <c r="V158" s="260">
        <f>IF(ISBLANK($C$29),"",MAX($C$29,$D$29))</f>
      </c>
      <c r="Y158" s="371" t="s">
        <v>189</v>
      </c>
      <c r="Z158" s="306" t="str">
        <f>"&gt; or "&amp;IF($C$29&gt;1,"harmful","beneficial")</f>
        <v>&gt; or beneficial</v>
      </c>
      <c r="AA158" s="260">
        <f>IF(ISBLANK($C$29),"",MAX($C$29,$D$29))</f>
      </c>
      <c r="AB158" s="260">
        <f>IF(ISBLANK($C$29),"",MAX($C$29,$D$29))</f>
      </c>
      <c r="AC158" s="260">
        <f>IF(ISBLANK($C$29),"",MAX($C$29,$D$29))</f>
      </c>
      <c r="AD158" s="260">
        <f>IF(ISBLANK($C$29),"",MAX($C$29,$D$29))</f>
      </c>
      <c r="AE158" s="260">
        <f>IF(ISBLANK($C$29),"",MAX($C$29,$D$29))</f>
      </c>
      <c r="AH158" s="381" t="s">
        <v>201</v>
      </c>
      <c r="AI158" s="306" t="str">
        <f>"+ive or "&amp;IF($C$30&gt;0,"harmful","beneficial")</f>
        <v>+ive or beneficial</v>
      </c>
      <c r="AJ158" s="68"/>
      <c r="AK158" s="260" t="e">
        <f>PERCENTILE(allraw,(100*PERCENTRANK(allraw,AK170)+AK249)/100)-AK170</f>
        <v>#VALUE!</v>
      </c>
      <c r="AL158" s="260" t="e">
        <f>PERCENTILE(allraw,(100*PERCENTRANK(allraw,AL170)+AL249)/100)-AL170</f>
        <v>#VALUE!</v>
      </c>
      <c r="AM158"/>
      <c r="AN158"/>
      <c r="AO158" s="381" t="s">
        <v>201</v>
      </c>
      <c r="AP158" s="306" t="str">
        <f>"+ive or "&amp;IF($C$30&gt;0,"harmful","beneficial")</f>
        <v>+ive or beneficial</v>
      </c>
      <c r="AQ158" s="260" t="e">
        <f>PERCENTILE(allraw,(100*PERCENTRANK(allraw,AQ170)+AQ249)/100)-AQ170</f>
        <v>#VALUE!</v>
      </c>
      <c r="AR158" s="267" t="e">
        <f>$AQ$158</f>
        <v>#VALUE!</v>
      </c>
      <c r="AS158" s="267" t="e">
        <f>$AQ$158</f>
        <v>#VALUE!</v>
      </c>
      <c r="AT158" s="267" t="e">
        <f>$AQ$158</f>
        <v>#VALUE!</v>
      </c>
      <c r="AU158" s="267" t="e">
        <f>$AQ$158</f>
        <v>#VALUE!</v>
      </c>
    </row>
    <row r="159" spans="2:47" s="55" customFormat="1" ht="12.75">
      <c r="B159" s="53"/>
      <c r="C159" s="53"/>
      <c r="D159" s="190"/>
      <c r="E159" s="53"/>
      <c r="F159" s="53"/>
      <c r="G159" s="53"/>
      <c r="H159" s="53"/>
      <c r="I159" s="53"/>
      <c r="J159" s="53"/>
      <c r="K159" s="53"/>
      <c r="L159" s="53"/>
      <c r="M159" s="53"/>
      <c r="N159" s="53"/>
      <c r="O159" s="53"/>
      <c r="R159" s="372"/>
      <c r="S159" s="307" t="str">
        <f>"&lt; or "&amp;IF($C$29&lt;1,"harmful","beneficial")</f>
        <v>&lt; or harmful</v>
      </c>
      <c r="T159" s="69"/>
      <c r="U159" s="260">
        <f>IF(ISBLANK($C$29),"",MIN($C$29,$D$29))</f>
      </c>
      <c r="V159" s="260">
        <f>IF(ISBLANK($C$29),"",MIN($C$29,$D$29))</f>
      </c>
      <c r="Y159" s="372"/>
      <c r="Z159" s="307" t="str">
        <f>"&lt; or "&amp;IF($C$29&lt;1,"harmful","beneficial")</f>
        <v>&lt; or harmful</v>
      </c>
      <c r="AA159" s="260">
        <f>IF(ISBLANK($C$29),"",MIN($C$29,$D$29))</f>
      </c>
      <c r="AB159" s="260">
        <f>IF(ISBLANK($C$29),"",MIN($C$29,$D$29))</f>
      </c>
      <c r="AC159" s="260">
        <f>IF(ISBLANK($C$29),"",MIN($C$29,$D$29))</f>
      </c>
      <c r="AD159" s="260">
        <f>IF(ISBLANK($C$29),"",MIN($C$29,$D$29))</f>
      </c>
      <c r="AE159" s="260">
        <f>IF(ISBLANK($C$29),"",MIN($C$29,$D$29))</f>
      </c>
      <c r="AH159" s="422"/>
      <c r="AI159" s="307" t="str">
        <f>"-ive or "&amp;IF($C$30&lt;0,"harmful","beneficial")</f>
        <v>-ive or beneficial</v>
      </c>
      <c r="AJ159" s="69"/>
      <c r="AK159" s="268" t="e">
        <f>PERCENTILE(allraw,(100*PERCENTRANK(allraw,AK170)+AK250)/100)-AK170</f>
        <v>#VALUE!</v>
      </c>
      <c r="AL159" s="268" t="e">
        <f>PERCENTILE(allraw,(100*PERCENTRANK(allraw,AL170)+AL250)/100)-AL170</f>
        <v>#VALUE!</v>
      </c>
      <c r="AM159"/>
      <c r="AN159"/>
      <c r="AO159" s="422"/>
      <c r="AP159" s="307" t="str">
        <f>"-ive or "&amp;IF($C$30&lt;0,"harmful","beneficial")</f>
        <v>-ive or beneficial</v>
      </c>
      <c r="AQ159" s="268" t="e">
        <f>PERCENTILE(allraw,(100*PERCENTRANK(allraw,AQ170)+AQ250)/100)-AQ170</f>
        <v>#VALUE!</v>
      </c>
      <c r="AR159" s="267" t="e">
        <f>$AQ$159</f>
        <v>#VALUE!</v>
      </c>
      <c r="AS159" s="267" t="e">
        <f>$AQ$159</f>
        <v>#VALUE!</v>
      </c>
      <c r="AT159" s="267" t="e">
        <f>$AQ$159</f>
        <v>#VALUE!</v>
      </c>
      <c r="AU159" s="267" t="e">
        <f>$AQ$159</f>
        <v>#VALUE!</v>
      </c>
    </row>
    <row r="160" spans="2:47" s="55" customFormat="1" ht="12.75" customHeight="1">
      <c r="B160" s="53"/>
      <c r="C160" s="53"/>
      <c r="D160" s="191"/>
      <c r="E160" s="53"/>
      <c r="F160" s="53"/>
      <c r="G160" s="53"/>
      <c r="H160" s="53"/>
      <c r="I160" s="53"/>
      <c r="J160" s="53"/>
      <c r="K160" s="53"/>
      <c r="L160" s="53"/>
      <c r="M160" s="53"/>
      <c r="N160" s="53"/>
      <c r="O160" s="53"/>
      <c r="R160" s="381" t="s">
        <v>193</v>
      </c>
      <c r="S160" s="412" t="str">
        <f>"a substantial increase (&gt;) or "&amp;IF($C$29&gt;1,"harmful","beneficial")</f>
        <v>a substantial increase (&gt;) or beneficial</v>
      </c>
      <c r="T160" s="130"/>
      <c r="U160" s="70" t="e">
        <f>IF(ISERROR(TDIST((100*LN(U158)-U$117)/U$123,U153,1)),1-TDIST((U$117-100*LN(U158))/U$123,U153,1),TDIST((100*LN(U158)-U$117)/U$123,U153,1))*100</f>
        <v>#VALUE!</v>
      </c>
      <c r="V160" s="70" t="e">
        <f>IF(ISERROR(TDIST((100*LN(V158)-V$117)/V$123,V153,1)),1-TDIST((V$117-100*LN(V158))/V$123,V153,1),TDIST((100*LN(V158)-V$117)/V$123,V153,1))*100</f>
        <v>#VALUE!</v>
      </c>
      <c r="W160" s="258"/>
      <c r="Y160" s="381" t="s">
        <v>193</v>
      </c>
      <c r="Z160" s="412" t="str">
        <f>"a substantial increase (&gt;) or "&amp;IF($C$29&gt;1,"harmful","beneficial")</f>
        <v>a substantial increase (&gt;) or beneficial</v>
      </c>
      <c r="AA160" s="70" t="e">
        <f>IF(ISERROR(TDIST((100*LN(AA158)-AA$117)/AA$123,AA153,1)),1-TDIST((AA$117-100*LN(AA158))/AA$123,AA153,1),TDIST((100*LN(AA158)-AA$117)/AA$123,AA153,1))*100</f>
        <v>#VALUE!</v>
      </c>
      <c r="AB160" s="70" t="e">
        <f>IF(ISERROR(TDIST((100*LN(AB158)-AB$117)/AB$123,AB153,1)),1-TDIST((AB$117-100*LN(AB158))/AB$123,AB153,1),TDIST((100*LN(AB158)-AB$117)/AB$123,AB153,1))*100</f>
        <v>#VALUE!</v>
      </c>
      <c r="AC160" s="70" t="e">
        <f>IF(ISERROR(TDIST((100*LN(AC158)-AC$117)/AC$123,AC153,1)),1-TDIST((AC$117-100*LN(AC158))/AC$123,AC153,1),TDIST((100*LN(AC158)-AC$117)/AC$123,AC153,1))*100</f>
        <v>#VALUE!</v>
      </c>
      <c r="AD160" s="70" t="e">
        <f>IF(ISERROR(TDIST((100*LN(AD158)-AD$117)/AD$123,AD153,1)),1-TDIST((AD$117-100*LN(AD158))/AD$123,AD153,1),TDIST((100*LN(AD158)-AD$117)/AD$123,AD153,1))*100</f>
        <v>#VALUE!</v>
      </c>
      <c r="AE160" s="70" t="e">
        <f>IF(ISERROR(TDIST((100*LN(AE158)-AE$117)/AE$123,AE153,1)),1-TDIST((AE$117-100*LN(AE158))/AE$123,AE153,1),TDIST((100*LN(AE158)-AE$117)/AE$123,AE153,1))*100</f>
        <v>#DIV/0!</v>
      </c>
      <c r="AH160" s="381" t="s">
        <v>193</v>
      </c>
      <c r="AI160" s="412" t="str">
        <f>"substantially positive (+ive) or "&amp;IF($C$30&gt;0,"harmful","beneficial")</f>
        <v>substantially positive (+ive) or beneficial</v>
      </c>
      <c r="AJ160" s="130"/>
      <c r="AK160" s="70" t="e">
        <f>IF(ISERROR(TDIST((100*(PERCENTRANK(allraw,AK170+AK158)-PERCENTRANK(allraw,AK170+AK154)))/AK123,AK153,1)),1-TDIST((100*(PERCENTRANK(allraw,AK170+AK154)-PERCENTRANK(allraw,AK170+AK158)))/AK123,AK153,1),TDIST((100*(PERCENTRANK(allraw,AK170+AK158)-PERCENTRANK(allraw,AK170+AK154)))/AK123,AK153,1))*100</f>
        <v>#VALUE!</v>
      </c>
      <c r="AL160" s="70" t="e">
        <f>IF(ISERROR(TDIST((100*(PERCENTRANK(allraw,AL170+AL158)-PERCENTRANK(allraw,AL170+AL154)))/AL123,AL153,1)),1-TDIST((100*(PERCENTRANK(allraw,AL170+AL154)-PERCENTRANK(allraw,AL170+AL158)))/AL123,AL153,1),TDIST((100*(PERCENTRANK(allraw,AL170+AL158)-PERCENTRANK(allraw,AL170+AL154)))/AL123,AL153,1))*100</f>
        <v>#VALUE!</v>
      </c>
      <c r="AM160"/>
      <c r="AN160"/>
      <c r="AO160" s="381" t="s">
        <v>193</v>
      </c>
      <c r="AP160" s="412" t="str">
        <f>"substantially positive (+ive) or "&amp;IF($C$30&gt;0,"harmful","beneficial")</f>
        <v>substantially positive (+ive) or beneficial</v>
      </c>
      <c r="AQ160" s="70" t="e">
        <f>IF(ISERROR(TDIST((100*(PERCENTRANK(allraw,AQ170+AQ158)-PERCENTRANK(allraw,AQ170+AQ154)))/AQ123,AQ153,1)),1-TDIST((100*(PERCENTRANK(allraw,AQ170+AQ154)-PERCENTRANK(allraw,AQ170+AQ158)))/AQ123,AQ153,1),TDIST((100*(PERCENTRANK(allraw,AQ170+AQ158)-PERCENTRANK(allraw,AQ170+AQ154)))/AQ123,AQ153,1))*100</f>
        <v>#VALUE!</v>
      </c>
      <c r="AR160" s="70" t="e">
        <f>IF(ISERROR(TDIST((100*(PERCENTRANK(allraw,AR170+AR158)-PERCENTRANK(allraw,AR170+AR154)))/AR123,AR153,1)),1-TDIST((100*(PERCENTRANK(allraw,AR170+AR154)-PERCENTRANK(allraw,AR170+AR158)))/AR123,AR153,1),TDIST((100*(PERCENTRANK(allraw,AR170+AR158)-PERCENTRANK(allraw,AR170+AR154)))/AR123,AR153,1))*100</f>
        <v>#VALUE!</v>
      </c>
      <c r="AS160" s="70" t="e">
        <f>IF(ISERROR(TDIST((100*(PERCENTRANK(allraw,AS170+AS158)-PERCENTRANK(allraw,AS170+AS154)))/AS123,AS153,1)),1-TDIST((100*(PERCENTRANK(allraw,AS170+AS154)-PERCENTRANK(allraw,AS170+AS158)))/AS123,AS153,1),TDIST((100*(PERCENTRANK(allraw,AS170+AS158)-PERCENTRANK(allraw,AS170+AS154)))/AS123,AS153,1))*100</f>
        <v>#VALUE!</v>
      </c>
      <c r="AT160" s="70" t="e">
        <f>IF(ISERROR(TDIST((100*(PERCENTRANK(allraw,AT170+AT158)-PERCENTRANK(allraw,AT170+AT154)))/AT123,AT153,1)),1-TDIST((100*(PERCENTRANK(allraw,AT170+AT154)-PERCENTRANK(allraw,AT170+AT158)))/AT123,AT153,1),TDIST((100*(PERCENTRANK(allraw,AT170+AT158)-PERCENTRANK(allraw,AT170+AT154)))/AT123,AT153,1))*100</f>
        <v>#VALUE!</v>
      </c>
      <c r="AU160" s="70" t="e">
        <f>IF(ISERROR(TDIST((100*(PERCENTRANK(allraw,AU170+AU158)-PERCENTRANK(allraw,AU170+AU154)))/AU123,AU153,1)),1-TDIST((100*(PERCENTRANK(allraw,AU170+AU154)-PERCENTRANK(allraw,AU170+AU158)))/AU123,AU153,1),TDIST((100*(PERCENTRANK(allraw,AU170+AU158)-PERCENTRANK(allraw,AU170+AU154)))/AU123,AU153,1))*100</f>
        <v>#DIV/0!</v>
      </c>
    </row>
    <row r="161" spans="2:47" s="55" customFormat="1" ht="29.25" customHeight="1">
      <c r="B161" s="53"/>
      <c r="C161" s="53"/>
      <c r="D161" s="192"/>
      <c r="E161" s="53"/>
      <c r="F161" s="53"/>
      <c r="G161" s="53"/>
      <c r="H161" s="53"/>
      <c r="I161" s="53"/>
      <c r="J161" s="53"/>
      <c r="K161" s="53"/>
      <c r="L161" s="53"/>
      <c r="M161" s="53"/>
      <c r="N161" s="53"/>
      <c r="O161" s="53"/>
      <c r="R161" s="382"/>
      <c r="S161" s="413"/>
      <c r="T161" s="129"/>
      <c r="U161" s="21" t="e">
        <f>IF(U160&lt;0.5,"most unlikely",IF(U160&lt;5,"very unlikely",IF(U160&lt;25,"unlikely",IF(U160&lt;75,"possibly",IF(U160&lt;95,"likely",IF(U160&lt;99.5,"very likely","most likely"))))))</f>
        <v>#VALUE!</v>
      </c>
      <c r="V161" s="21" t="e">
        <f>IF(V160&lt;0.5,"most unlikely",IF(V160&lt;5,"very unlikely",IF(V160&lt;25,"unlikely",IF(V160&lt;75,"possibly",IF(V160&lt;95,"likely",IF(V160&lt;99.5,"very likely","most likely"))))))</f>
        <v>#VALUE!</v>
      </c>
      <c r="Y161" s="382"/>
      <c r="Z161" s="413"/>
      <c r="AA161" s="21" t="e">
        <f>IF(AA160&lt;0.5,"most unlikely",IF(AA160&lt;5,"very unlikely",IF(AA160&lt;25,"unlikely",IF(AA160&lt;75,"possibly",IF(AA160&lt;95,"likely",IF(AA160&lt;99.5,"very likely","most likely"))))))</f>
        <v>#VALUE!</v>
      </c>
      <c r="AB161" s="21" t="e">
        <f>IF(AB160&lt;0.5,"most unlikely",IF(AB160&lt;5,"very unlikely",IF(AB160&lt;25,"unlikely",IF(AB160&lt;75,"possibly",IF(AB160&lt;95,"likely",IF(AB160&lt;99.5,"very likely","most likely"))))))</f>
        <v>#VALUE!</v>
      </c>
      <c r="AC161" s="21" t="e">
        <f>IF(AC160&lt;0.5,"most unlikely",IF(AC160&lt;5,"very unlikely",IF(AC160&lt;25,"unlikely",IF(AC160&lt;75,"possibly",IF(AC160&lt;95,"likely",IF(AC160&lt;99.5,"very likely","most likely"))))))</f>
        <v>#VALUE!</v>
      </c>
      <c r="AD161" s="21" t="e">
        <f>IF(AD160&lt;0.5,"most unlikely",IF(AD160&lt;5,"very unlikely",IF(AD160&lt;25,"unlikely",IF(AD160&lt;75,"possibly",IF(AD160&lt;95,"likely",IF(AD160&lt;99.5,"very likely","most likely"))))))</f>
        <v>#VALUE!</v>
      </c>
      <c r="AE161" s="21" t="e">
        <f>IF(AE160&lt;0.5,"most unlikely",IF(AE160&lt;5,"very unlikely",IF(AE160&lt;25,"unlikely",IF(AE160&lt;75,"possibly",IF(AE160&lt;95,"likely",IF(AE160&lt;99.5,"very likely","most likely"))))))</f>
        <v>#DIV/0!</v>
      </c>
      <c r="AH161" s="382"/>
      <c r="AI161" s="413"/>
      <c r="AJ161" s="129"/>
      <c r="AK161" s="21" t="e">
        <f>IF(AK160&lt;0.5,"most unlikely",IF(AK160&lt;5,"very unlikely",IF(AK160&lt;25,"unlikely",IF(AK160&lt;75,"possibly",IF(AK160&lt;95,"likely",IF(AK160&lt;99.5,"very likely","most likely"))))))</f>
        <v>#VALUE!</v>
      </c>
      <c r="AL161" s="21" t="e">
        <f>IF(AL160&lt;0.5,"most unlikely",IF(AL160&lt;5,"very unlikely",IF(AL160&lt;25,"unlikely",IF(AL160&lt;75,"possibly",IF(AL160&lt;95,"likely",IF(AL160&lt;99.5,"very likely","most likely"))))))</f>
        <v>#VALUE!</v>
      </c>
      <c r="AM161"/>
      <c r="AN161"/>
      <c r="AO161" s="382"/>
      <c r="AP161" s="413"/>
      <c r="AQ161" s="21" t="e">
        <f>IF(AQ160&lt;0.5,"most unlikely",IF(AQ160&lt;5,"very unlikely",IF(AQ160&lt;25,"unlikely",IF(AQ160&lt;75,"possibly",IF(AQ160&lt;95,"likely",IF(AQ160&lt;99.5,"very likely","most likely"))))))</f>
        <v>#VALUE!</v>
      </c>
      <c r="AR161" s="21" t="e">
        <f>IF(AR160&lt;0.5,"most unlikely",IF(AR160&lt;5,"very unlikely",IF(AR160&lt;25,"unlikely",IF(AR160&lt;75,"possibly",IF(AR160&lt;95,"likely",IF(AR160&lt;99.5,"very likely","most likely"))))))</f>
        <v>#VALUE!</v>
      </c>
      <c r="AS161" s="21" t="e">
        <f>IF(AS160&lt;0.5,"most unlikely",IF(AS160&lt;5,"very unlikely",IF(AS160&lt;25,"unlikely",IF(AS160&lt;75,"possibly",IF(AS160&lt;95,"likely",IF(AS160&lt;99.5,"very likely","most likely"))))))</f>
        <v>#VALUE!</v>
      </c>
      <c r="AT161" s="21" t="e">
        <f>IF(AT160&lt;0.5,"most unlikely",IF(AT160&lt;5,"very unlikely",IF(AT160&lt;25,"unlikely",IF(AT160&lt;75,"possibly",IF(AT160&lt;95,"likely",IF(AT160&lt;99.5,"very likely","most likely"))))))</f>
        <v>#VALUE!</v>
      </c>
      <c r="AU161" s="21" t="e">
        <f>IF(AU160&lt;0.5,"most unlikely",IF(AU160&lt;5,"very unlikely",IF(AU160&lt;25,"unlikely",IF(AU160&lt;75,"possibly",IF(AU160&lt;95,"likely",IF(AU160&lt;99.5,"very likely","most likely"))))))</f>
        <v>#DIV/0!</v>
      </c>
    </row>
    <row r="162" spans="18:47" s="55" customFormat="1" ht="12.75">
      <c r="R162" s="382"/>
      <c r="S162" s="420" t="s">
        <v>12</v>
      </c>
      <c r="T162" s="131"/>
      <c r="U162" s="70" t="e">
        <f>100-U160-U164</f>
        <v>#VALUE!</v>
      </c>
      <c r="V162" s="70" t="e">
        <f>100-V160-V164</f>
        <v>#VALUE!</v>
      </c>
      <c r="Y162" s="382"/>
      <c r="Z162" s="420" t="s">
        <v>12</v>
      </c>
      <c r="AA162" s="70" t="e">
        <f>100-AA160-AA164</f>
        <v>#VALUE!</v>
      </c>
      <c r="AB162" s="70" t="e">
        <f>100-AB160-AB164</f>
        <v>#VALUE!</v>
      </c>
      <c r="AC162" s="70" t="e">
        <f>100-AC160-AC164</f>
        <v>#VALUE!</v>
      </c>
      <c r="AD162" s="70" t="e">
        <f>100-AD160-AD164</f>
        <v>#VALUE!</v>
      </c>
      <c r="AE162" s="70" t="e">
        <f>100-AE160-AE164</f>
        <v>#DIV/0!</v>
      </c>
      <c r="AH162" s="382"/>
      <c r="AI162" s="373" t="s">
        <v>12</v>
      </c>
      <c r="AJ162" s="131"/>
      <c r="AK162" s="70" t="e">
        <f>100-AK160-AK164</f>
        <v>#VALUE!</v>
      </c>
      <c r="AL162" s="70" t="e">
        <f>100-AL160-AL164</f>
        <v>#VALUE!</v>
      </c>
      <c r="AM162"/>
      <c r="AN162"/>
      <c r="AO162" s="382"/>
      <c r="AP162" s="373" t="s">
        <v>12</v>
      </c>
      <c r="AQ162" s="70" t="e">
        <f>100-AQ160-AQ164</f>
        <v>#VALUE!</v>
      </c>
      <c r="AR162" s="70" t="e">
        <f>100-AR160-AR164</f>
        <v>#VALUE!</v>
      </c>
      <c r="AS162" s="70" t="e">
        <f>100-AS160-AS164</f>
        <v>#VALUE!</v>
      </c>
      <c r="AT162" s="70" t="e">
        <f>100-AT160-AT164</f>
        <v>#VALUE!</v>
      </c>
      <c r="AU162" s="70" t="e">
        <f>100-AU160-AU164</f>
        <v>#DIV/0!</v>
      </c>
    </row>
    <row r="163" spans="18:47" s="55" customFormat="1" ht="30.75" customHeight="1">
      <c r="R163" s="382"/>
      <c r="S163" s="421"/>
      <c r="T163" s="132"/>
      <c r="U163" s="21" t="e">
        <f>IF(U162&lt;0.5,"most unlikely",IF(U162&lt;5,"very unlikely",IF(U162&lt;25,"unlikely",IF(U162&lt;75,"possibly",IF(U162&lt;95,"likely",IF(U162&lt;99.5,"very likely","most likely"))))))</f>
        <v>#VALUE!</v>
      </c>
      <c r="V163" s="21" t="e">
        <f>IF(V162&lt;0.5,"most unlikely",IF(V162&lt;5,"very unlikely",IF(V162&lt;25,"unlikely",IF(V162&lt;75,"possibly",IF(V162&lt;95,"likely",IF(V162&lt;99.5,"very likely","most likely"))))))</f>
        <v>#VALUE!</v>
      </c>
      <c r="Y163" s="382"/>
      <c r="Z163" s="421"/>
      <c r="AA163" s="21" t="e">
        <f>IF(AA162&lt;0.5,"most unlikely",IF(AA162&lt;5,"very unlikely",IF(AA162&lt;25,"unlikely",IF(AA162&lt;75,"possibly",IF(AA162&lt;95,"likely",IF(AA162&lt;99.5,"very likely","most likely"))))))</f>
        <v>#VALUE!</v>
      </c>
      <c r="AB163" s="21" t="e">
        <f>IF(AB162&lt;0.5,"most unlikely",IF(AB162&lt;5,"very unlikely",IF(AB162&lt;25,"unlikely",IF(AB162&lt;75,"possibly",IF(AB162&lt;95,"likely",IF(AB162&lt;99.5,"very likely","most likely"))))))</f>
        <v>#VALUE!</v>
      </c>
      <c r="AC163" s="21" t="e">
        <f>IF(AC162&lt;0.5,"most unlikely",IF(AC162&lt;5,"very unlikely",IF(AC162&lt;25,"unlikely",IF(AC162&lt;75,"possibly",IF(AC162&lt;95,"likely",IF(AC162&lt;99.5,"very likely","most likely"))))))</f>
        <v>#VALUE!</v>
      </c>
      <c r="AD163" s="21" t="e">
        <f>IF(AD162&lt;0.5,"most unlikely",IF(AD162&lt;5,"very unlikely",IF(AD162&lt;25,"unlikely",IF(AD162&lt;75,"possibly",IF(AD162&lt;95,"likely",IF(AD162&lt;99.5,"very likely","most likely"))))))</f>
        <v>#VALUE!</v>
      </c>
      <c r="AE163" s="21" t="e">
        <f>IF(AE162&lt;0.5,"most unlikely",IF(AE162&lt;5,"very unlikely",IF(AE162&lt;25,"unlikely",IF(AE162&lt;75,"possibly",IF(AE162&lt;95,"likely",IF(AE162&lt;99.5,"very likely","most likely"))))))</f>
        <v>#DIV/0!</v>
      </c>
      <c r="AH163" s="382"/>
      <c r="AI163" s="374"/>
      <c r="AJ163" s="132"/>
      <c r="AK163" s="21" t="e">
        <f>IF(AK162&lt;0.5,"most unlikely",IF(AK162&lt;5,"very unlikely",IF(AK162&lt;25,"unlikely",IF(AK162&lt;75,"possibly",IF(AK162&lt;95,"likely",IF(AK162&lt;99.5,"very likely","most likely"))))))</f>
        <v>#VALUE!</v>
      </c>
      <c r="AL163" s="21" t="e">
        <f>IF(AL162&lt;0.5,"most unlikely",IF(AL162&lt;5,"very unlikely",IF(AL162&lt;25,"unlikely",IF(AL162&lt;75,"possibly",IF(AL162&lt;95,"likely",IF(AL162&lt;99.5,"very likely","most likely"))))))</f>
        <v>#VALUE!</v>
      </c>
      <c r="AM163"/>
      <c r="AN163"/>
      <c r="AO163" s="382"/>
      <c r="AP163" s="374"/>
      <c r="AQ163" s="21" t="e">
        <f>IF(AQ162&lt;0.5,"most unlikely",IF(AQ162&lt;5,"very unlikely",IF(AQ162&lt;25,"unlikely",IF(AQ162&lt;75,"possibly",IF(AQ162&lt;95,"likely",IF(AQ162&lt;99.5,"very likely","most likely"))))))</f>
        <v>#VALUE!</v>
      </c>
      <c r="AR163" s="21" t="e">
        <f>IF(AR162&lt;0.5,"most unlikely",IF(AR162&lt;5,"very unlikely",IF(AR162&lt;25,"unlikely",IF(AR162&lt;75,"possibly",IF(AR162&lt;95,"likely",IF(AR162&lt;99.5,"very likely","most likely"))))))</f>
        <v>#VALUE!</v>
      </c>
      <c r="AS163" s="21" t="e">
        <f>IF(AS162&lt;0.5,"most unlikely",IF(AS162&lt;5,"very unlikely",IF(AS162&lt;25,"unlikely",IF(AS162&lt;75,"possibly",IF(AS162&lt;95,"likely",IF(AS162&lt;99.5,"very likely","most likely"))))))</f>
        <v>#VALUE!</v>
      </c>
      <c r="AT163" s="21" t="e">
        <f>IF(AT162&lt;0.5,"most unlikely",IF(AT162&lt;5,"very unlikely",IF(AT162&lt;25,"unlikely",IF(AT162&lt;75,"possibly",IF(AT162&lt;95,"likely",IF(AT162&lt;99.5,"very likely","most likely"))))))</f>
        <v>#VALUE!</v>
      </c>
      <c r="AU163" s="21" t="e">
        <f>IF(AU162&lt;0.5,"most unlikely",IF(AU162&lt;5,"very unlikely",IF(AU162&lt;25,"unlikely",IF(AU162&lt;75,"possibly",IF(AU162&lt;95,"likely",IF(AU162&lt;99.5,"very likely","most likely"))))))</f>
        <v>#DIV/0!</v>
      </c>
    </row>
    <row r="164" spans="18:47" s="55" customFormat="1" ht="12.75" customHeight="1">
      <c r="R164" s="382"/>
      <c r="S164" s="383" t="str">
        <f>"a substantial decrease (&lt;) or "&amp;IF($C$29&lt;1,"harmful","beneficial")</f>
        <v>a substantial decrease (&lt;) or harmful</v>
      </c>
      <c r="T164" s="133"/>
      <c r="U164" s="70" t="e">
        <f>IF(ISERROR(TDIST((100*LN(U159)-U$117)/U$123,U153,1)),TDIST((U$117-100*LN(U159))/U$123,U153,1),1-TDIST((100*LN(U159)-U$117)/U$123,U153,1))*100</f>
        <v>#VALUE!</v>
      </c>
      <c r="V164" s="70" t="e">
        <f>IF(ISERROR(TDIST((100*LN(V159)-V$117)/V$123,V153,1)),TDIST((V$117-100*LN(V159))/V$123,V153,1),1-TDIST((100*LN(V159)-V$117)/V$123,V153,1))*100</f>
        <v>#VALUE!</v>
      </c>
      <c r="Y164" s="382"/>
      <c r="Z164" s="383" t="str">
        <f>"a substantial decrease (&lt;) or "&amp;IF($C$29&lt;1,"harmful","beneficial")</f>
        <v>a substantial decrease (&lt;) or harmful</v>
      </c>
      <c r="AA164" s="70" t="e">
        <f>IF(ISERROR(TDIST((100*LN(AA159)-AA$117)/AA$123,AA153,1)),TDIST((AA$117-100*LN(AA159))/AA$123,AA153,1),1-TDIST((100*LN(AA159)-AA$117)/AA$123,AA153,1))*100</f>
        <v>#VALUE!</v>
      </c>
      <c r="AB164" s="70" t="e">
        <f>IF(ISERROR(TDIST((100*LN(AB159)-AB$117)/AB$123,AB153,1)),TDIST((AB$117-100*LN(AB159))/AB$123,AB153,1),1-TDIST((100*LN(AB159)-AB$117)/AB$123,AB153,1))*100</f>
        <v>#VALUE!</v>
      </c>
      <c r="AC164" s="70" t="e">
        <f>IF(ISERROR(TDIST((100*LN(AC159)-AC$117)/AC$123,AC153,1)),TDIST((AC$117-100*LN(AC159))/AC$123,AC153,1),1-TDIST((100*LN(AC159)-AC$117)/AC$123,AC153,1))*100</f>
        <v>#VALUE!</v>
      </c>
      <c r="AD164" s="70" t="e">
        <f>IF(ISERROR(TDIST((100*LN(AD159)-AD$117)/AD$123,AD153,1)),TDIST((AD$117-100*LN(AD159))/AD$123,AD153,1),1-TDIST((100*LN(AD159)-AD$117)/AD$123,AD153,1))*100</f>
        <v>#VALUE!</v>
      </c>
      <c r="AE164" s="70" t="e">
        <f>IF(ISERROR(TDIST((100*LN(AE159)-AE$117)/AE$123,AE153,1)),TDIST((AE$117-100*LN(AE159))/AE$123,AE153,1),1-TDIST((100*LN(AE159)-AE$117)/AE$123,AE153,1))*100</f>
        <v>#DIV/0!</v>
      </c>
      <c r="AH164" s="382"/>
      <c r="AI164" s="383" t="str">
        <f>"substantially negative (-ive) or "&amp;IF($C$30&lt;0,"harmful","beneficial")</f>
        <v>substantially negative (-ive) or beneficial</v>
      </c>
      <c r="AJ164" s="133"/>
      <c r="AK164" s="70" t="e">
        <f>IF(ISERROR(TDIST((100*(PERCENTRANK(allraw,AK170+AK159)-PERCENTRANK(allraw,AK170+AK154)))/AK123,AK153,1)),TDIST((100*(PERCENTRANK(allraw,AK170+AK154)-PERCENTRANK(allraw,AK170+AK159)))/AK123,AK153,1),1-TDIST((100*(PERCENTRANK(allraw,AK170+AK159)-PERCENTRANK(allraw,AK170+AK154)))/AK123,AK153,1))*100</f>
        <v>#VALUE!</v>
      </c>
      <c r="AL164" s="70" t="e">
        <f>IF(ISERROR(TDIST((100*(PERCENTRANK(allraw,AL170+AL159)-PERCENTRANK(allraw,AL170+AL154)))/AL123,AL153,1)),TDIST((100*(PERCENTRANK(allraw,AL170+AL154)-PERCENTRANK(allraw,AL170+AL159)))/AL123,AL153,1),1-TDIST((100*(PERCENTRANK(allraw,AL170+AL159)-PERCENTRANK(allraw,AL170+AL154)))/AL123,AL153,1))*100</f>
        <v>#VALUE!</v>
      </c>
      <c r="AM164"/>
      <c r="AN164"/>
      <c r="AO164" s="382"/>
      <c r="AP164" s="383" t="str">
        <f>"substantially negative (-ive) or "&amp;IF($C$30&lt;0,"harmful","beneficial")</f>
        <v>substantially negative (-ive) or beneficial</v>
      </c>
      <c r="AQ164" s="70" t="e">
        <f>IF(ISERROR(TDIST((100*(PERCENTRANK(allraw,AQ170+AQ159)-PERCENTRANK(allraw,AQ170+AQ154)))/AQ123,AQ153,1)),TDIST((100*(PERCENTRANK(allraw,AQ170+AQ154)-PERCENTRANK(allraw,AQ170+AQ159)))/AQ123,AQ153,1),1-TDIST((100*(PERCENTRANK(allraw,AQ170+AQ159)-PERCENTRANK(allraw,AQ170+AQ154)))/AQ123,AQ153,1))*100</f>
        <v>#VALUE!</v>
      </c>
      <c r="AR164" s="70" t="e">
        <f>IF(ISERROR(TDIST((100*(PERCENTRANK(allraw,AR170+AR159)-PERCENTRANK(allraw,AR170+AR154)))/AR123,AR153,1)),TDIST((100*(PERCENTRANK(allraw,AR170+AR154)-PERCENTRANK(allraw,AR170+AR159)))/AR123,AR153,1),1-TDIST((100*(PERCENTRANK(allraw,AR170+AR159)-PERCENTRANK(allraw,AR170+AR154)))/AR123,AR153,1))*100</f>
        <v>#VALUE!</v>
      </c>
      <c r="AS164" s="70" t="e">
        <f>IF(ISERROR(TDIST((100*(PERCENTRANK(allraw,AS170+AS159)-PERCENTRANK(allraw,AS170+AS154)))/AS123,AS153,1)),TDIST((100*(PERCENTRANK(allraw,AS170+AS154)-PERCENTRANK(allraw,AS170+AS159)))/AS123,AS153,1),1-TDIST((100*(PERCENTRANK(allraw,AS170+AS159)-PERCENTRANK(allraw,AS170+AS154)))/AS123,AS153,1))*100</f>
        <v>#VALUE!</v>
      </c>
      <c r="AT164" s="70" t="e">
        <f>IF(ISERROR(TDIST((100*(PERCENTRANK(allraw,AT170+AT159)-PERCENTRANK(allraw,AT170+AT154)))/AT123,AT153,1)),TDIST((100*(PERCENTRANK(allraw,AT170+AT154)-PERCENTRANK(allraw,AT170+AT159)))/AT123,AT153,1),1-TDIST((100*(PERCENTRANK(allraw,AT170+AT159)-PERCENTRANK(allraw,AT170+AT154)))/AT123,AT153,1))*100</f>
        <v>#VALUE!</v>
      </c>
      <c r="AU164" s="70" t="e">
        <f>IF(ISERROR(TDIST((100*(PERCENTRANK(allraw,AU170+AU159)-PERCENTRANK(allraw,AU170+AU154)))/AU123,AU153,1)),TDIST((100*(PERCENTRANK(allraw,AU170+AU154)-PERCENTRANK(allraw,AU170+AU159)))/AU123,AU153,1),1-TDIST((100*(PERCENTRANK(allraw,AU170+AU159)-PERCENTRANK(allraw,AU170+AU154)))/AU123,AU153,1))*100</f>
        <v>#DIV/0!</v>
      </c>
    </row>
    <row r="165" spans="18:47" s="55" customFormat="1" ht="30.75" customHeight="1">
      <c r="R165" s="382"/>
      <c r="S165" s="384"/>
      <c r="T165" s="134"/>
      <c r="U165" s="21" t="e">
        <f>IF(U164&lt;0.5,"most unlikely",IF(U164&lt;5,"very unlikely",IF(U164&lt;25,"unlikely",IF(U164&lt;75,"possibly",IF(U164&lt;95,"likely",IF(U164&lt;99.5,"very likely","most likely"))))))</f>
        <v>#VALUE!</v>
      </c>
      <c r="V165" s="21" t="e">
        <f>IF(V164&lt;0.5,"most unlikely",IF(V164&lt;5,"very unlikely",IF(V164&lt;25,"unlikely",IF(V164&lt;75,"possibly",IF(V164&lt;95,"likely",IF(V164&lt;99.5,"very likely","most likely"))))))</f>
        <v>#VALUE!</v>
      </c>
      <c r="Y165" s="382"/>
      <c r="Z165" s="384"/>
      <c r="AA165" s="21" t="e">
        <f>IF(AA164&lt;0.5,"most unlikely",IF(AA164&lt;5,"very unlikely",IF(AA164&lt;25,"unlikely",IF(AA164&lt;75,"possibly",IF(AA164&lt;95,"likely",IF(AA164&lt;99.5,"very likely","most likely"))))))</f>
        <v>#VALUE!</v>
      </c>
      <c r="AB165" s="21" t="e">
        <f>IF(AB164&lt;0.5,"most unlikely",IF(AB164&lt;5,"very unlikely",IF(AB164&lt;25,"unlikely",IF(AB164&lt;75,"possibly",IF(AB164&lt;95,"likely",IF(AB164&lt;99.5,"very likely","most likely"))))))</f>
        <v>#VALUE!</v>
      </c>
      <c r="AC165" s="21" t="e">
        <f>IF(AC164&lt;0.5,"most unlikely",IF(AC164&lt;5,"very unlikely",IF(AC164&lt;25,"unlikely",IF(AC164&lt;75,"possibly",IF(AC164&lt;95,"likely",IF(AC164&lt;99.5,"very likely","most likely"))))))</f>
        <v>#VALUE!</v>
      </c>
      <c r="AD165" s="21" t="e">
        <f>IF(AD164&lt;0.5,"most unlikely",IF(AD164&lt;5,"very unlikely",IF(AD164&lt;25,"unlikely",IF(AD164&lt;75,"possibly",IF(AD164&lt;95,"likely",IF(AD164&lt;99.5,"very likely","most likely"))))))</f>
        <v>#VALUE!</v>
      </c>
      <c r="AE165" s="21" t="e">
        <f>IF(AE164&lt;0.5,"most unlikely",IF(AE164&lt;5,"very unlikely",IF(AE164&lt;25,"unlikely",IF(AE164&lt;75,"possibly",IF(AE164&lt;95,"likely",IF(AE164&lt;99.5,"very likely","most likely"))))))</f>
        <v>#DIV/0!</v>
      </c>
      <c r="AH165" s="382"/>
      <c r="AI165" s="384"/>
      <c r="AJ165" s="134"/>
      <c r="AK165" s="21" t="e">
        <f>IF(AK164&lt;0.5,"most unlikely",IF(AK164&lt;5,"very unlikely",IF(AK164&lt;25,"unlikely",IF(AK164&lt;75,"possibly",IF(AK164&lt;95,"likely",IF(AK164&lt;99.5,"very likely","most likely"))))))</f>
        <v>#VALUE!</v>
      </c>
      <c r="AL165" s="21" t="e">
        <f>IF(AL164&lt;0.5,"most unlikely",IF(AL164&lt;5,"very unlikely",IF(AL164&lt;25,"unlikely",IF(AL164&lt;75,"possibly",IF(AL164&lt;95,"likely",IF(AL164&lt;99.5,"very likely","most likely"))))))</f>
        <v>#VALUE!</v>
      </c>
      <c r="AM165"/>
      <c r="AN165"/>
      <c r="AO165" s="382"/>
      <c r="AP165" s="384"/>
      <c r="AQ165" s="21" t="e">
        <f>IF(AQ164&lt;0.5,"most unlikely",IF(AQ164&lt;5,"very unlikely",IF(AQ164&lt;25,"unlikely",IF(AQ164&lt;75,"possibly",IF(AQ164&lt;95,"likely",IF(AQ164&lt;99.5,"very likely","most likely"))))))</f>
        <v>#VALUE!</v>
      </c>
      <c r="AR165" s="21" t="e">
        <f>IF(AR164&lt;0.5,"most unlikely",IF(AR164&lt;5,"very unlikely",IF(AR164&lt;25,"unlikely",IF(AR164&lt;75,"possibly",IF(AR164&lt;95,"likely",IF(AR164&lt;99.5,"very likely","most likely"))))))</f>
        <v>#VALUE!</v>
      </c>
      <c r="AS165" s="21" t="e">
        <f>IF(AS164&lt;0.5,"most unlikely",IF(AS164&lt;5,"very unlikely",IF(AS164&lt;25,"unlikely",IF(AS164&lt;75,"possibly",IF(AS164&lt;95,"likely",IF(AS164&lt;99.5,"very likely","most likely"))))))</f>
        <v>#VALUE!</v>
      </c>
      <c r="AT165" s="21" t="e">
        <f>IF(AT164&lt;0.5,"most unlikely",IF(AT164&lt;5,"very unlikely",IF(AT164&lt;25,"unlikely",IF(AT164&lt;75,"possibly",IF(AT164&lt;95,"likely",IF(AT164&lt;99.5,"very likely","most likely"))))))</f>
        <v>#VALUE!</v>
      </c>
      <c r="AU165" s="21" t="e">
        <f>IF(AU164&lt;0.5,"most unlikely",IF(AU164&lt;5,"very unlikely",IF(AU164&lt;25,"unlikely",IF(AU164&lt;75,"possibly",IF(AU164&lt;95,"likely",IF(AU164&lt;99.5,"very likely","most likely"))))))</f>
        <v>#DIV/0!</v>
      </c>
    </row>
    <row r="166" spans="18:47" ht="33.75" customHeight="1">
      <c r="R166" s="369" t="str">
        <f>"Mechanistic inference, based on threshold chances of "&amp;(100-$E$33)/2&amp;"% for substantial magnitudes"</f>
        <v>Mechanistic inference, based on threshold chances of 5% for substantial magnitudes</v>
      </c>
      <c r="S166" s="370"/>
      <c r="T166" s="277"/>
      <c r="U166" s="302" t="e">
        <f>IF(MIN(U160,U164)&gt;(100-U152)/2,"unclear; get more data",IF(U160&gt;5,U161&amp;" &gt;",IF(U164&gt;5,U165&amp;" &lt;",U163&amp;" trivial")))</f>
        <v>#VALUE!</v>
      </c>
      <c r="V166" s="302" t="e">
        <f>IF(MIN(V160,V164)&gt;(100-V152)/2,"unclear; get more data",IF(V160&gt;5,V161&amp;" &gt;",IF(V164&gt;5,V165&amp;" &lt;",V163&amp;" trivial")))</f>
        <v>#VALUE!</v>
      </c>
      <c r="W166" s="24"/>
      <c r="X166" s="24"/>
      <c r="Y166" s="369" t="str">
        <f>"Mechanistic inference, based on threshold chances of "&amp;(100-$E$33)/2&amp;"% for substantial magnitudes"</f>
        <v>Mechanistic inference, based on threshold chances of 5% for substantial magnitudes</v>
      </c>
      <c r="Z166" s="370"/>
      <c r="AA166" s="302" t="e">
        <f>IF(MIN(AA160,AA164)&gt;(100-AA152)/2,"unclear; get more data",IF(AA160&gt;5,AA161&amp;" &gt;",IF(AA164&gt;5,AA165&amp;" &lt;",AA163&amp;" trivial")))</f>
        <v>#VALUE!</v>
      </c>
      <c r="AB166" s="302" t="e">
        <f>IF(MIN(AB160,AB164)&gt;(100-AB152)/2,"unclear; get more data",IF(AB160&gt;5,AB161&amp;" &gt;",IF(AB164&gt;5,AB165&amp;" &lt;",AB163&amp;" trivial")))</f>
        <v>#VALUE!</v>
      </c>
      <c r="AC166" s="302" t="e">
        <f>IF(MIN(AC160,AC164)&gt;(100-AC152)/2,"unclear; get more data",IF(AC160&gt;5,AC161&amp;" &gt;",IF(AC164&gt;5,AC165&amp;" &lt;",AC163&amp;" trivial")))</f>
        <v>#VALUE!</v>
      </c>
      <c r="AD166" s="302" t="e">
        <f>IF(MIN(AD160,AD164)&gt;(100-AD152)/2,"unclear; get more data",IF(AD160&gt;5,AD161&amp;" &gt;",IF(AD164&gt;5,AD165&amp;" &lt;",AD163&amp;" trivial")))</f>
        <v>#VALUE!</v>
      </c>
      <c r="AE166" s="302" t="e">
        <f>IF(MIN(AE160,AE164)&gt;(100-AE152)/2,"unclear; get more data",IF(AE160&gt;5,AE161&amp;" &gt;",IF(AE164&gt;5,AE165&amp;" &lt;",AE163&amp;" trivial")))</f>
        <v>#DIV/0!</v>
      </c>
      <c r="AH166" s="369" t="str">
        <f>"Mechanistic inference, based on threshold chances of "&amp;(100-$E$33)/2&amp;"% for substantial magnitudes"</f>
        <v>Mechanistic inference, based on threshold chances of 5% for substantial magnitudes</v>
      </c>
      <c r="AI166" s="370"/>
      <c r="AJ166" s="277"/>
      <c r="AK166" s="302" t="e">
        <f>IF(MIN(AK160,AK164)&gt;(100-AK152)/2,"unclear; get more data",IF(AK160&gt;5,AK161&amp;" +ive",IF(AK164&gt;5,AK165&amp;" –ive",AK163&amp;" trivial")))</f>
        <v>#VALUE!</v>
      </c>
      <c r="AL166" s="302" t="e">
        <f>IF(MIN(AL160,AL164)&gt;(100-AL152)/2,"unclear; get more data",IF(AL160&gt;5,AL161&amp;" +ive",IF(AL164&gt;5,AL165&amp;" –ive",AL163&amp;" trivial")))</f>
        <v>#VALUE!</v>
      </c>
      <c r="AM166" s="24"/>
      <c r="AN166" s="24"/>
      <c r="AO166" s="369" t="str">
        <f>"Mechanistic inference, based on threshold chances of "&amp;(100-$E$33)/2&amp;"% for substantial magnitudes"</f>
        <v>Mechanistic inference, based on threshold chances of 5% for substantial magnitudes</v>
      </c>
      <c r="AP166" s="370"/>
      <c r="AQ166" s="302" t="e">
        <f>IF(MIN(AQ160,AQ164)&gt;(100-AQ152)/2,"unclear; get more data",IF(AQ160&gt;5,AQ161&amp;" +ive",IF(AQ164&gt;5,AQ165&amp;" –ive",AQ163&amp;" trivial")))</f>
        <v>#VALUE!</v>
      </c>
      <c r="AR166" s="302" t="e">
        <f>IF(MIN(AR160,AR164)&gt;(100-AR152)/2,"unclear; get more data",IF(AR160&gt;5,AR161&amp;" +ive",IF(AR164&gt;5,AR165&amp;" –ive",AR163&amp;" trivial")))</f>
        <v>#VALUE!</v>
      </c>
      <c r="AS166" s="302" t="e">
        <f>IF(MIN(AS160,AS164)&gt;(100-AS152)/2,"unclear; get more data",IF(AS160&gt;5,AS161&amp;" +ive",IF(AS164&gt;5,AS165&amp;" –ive",AS163&amp;" trivial")))</f>
        <v>#VALUE!</v>
      </c>
      <c r="AT166" s="302" t="e">
        <f>IF(MIN(AT160,AT164)&gt;(100-AT152)/2,"unclear; get more data",IF(AT160&gt;5,AT161&amp;" +ive",IF(AT164&gt;5,AT165&amp;" –ive",AT163&amp;" trivial")))</f>
        <v>#VALUE!</v>
      </c>
      <c r="AU166" s="302" t="e">
        <f>IF(MIN(AU160,AU164)&gt;(100-AU152)/2,"unclear; get more data",IF(AU160&gt;5,AU161&amp;" &gt;",IF(AU164&gt;5,AU165&amp;" &lt;",AU163&amp;" trivial")))</f>
        <v>#DIV/0!</v>
      </c>
    </row>
    <row r="167" spans="18:47" ht="33.75" customHeight="1">
      <c r="R167" s="369"/>
      <c r="S167" s="370"/>
      <c r="T167" s="277"/>
      <c r="U167" s="302"/>
      <c r="V167" s="302"/>
      <c r="W167" s="24"/>
      <c r="X167" s="24"/>
      <c r="Y167" s="369" t="str">
        <f>"Clinical inference, based on threshold chances of harm and benefit of "&amp;$E$36&amp;"% and "&amp;$E$37&amp;"%"</f>
        <v>Clinical inference, based on threshold chances of harm and benefit of 0.5% and 25%</v>
      </c>
      <c r="Z167" s="370"/>
      <c r="AA167" s="302" t="e">
        <f>IF($C$29&gt;1,IF(AA164&gt;$E$37,IF(AA160&lt;$E$36,AA165&amp;" beneficial","unclear; get more data"),IF(AA160&gt;25,AA161&amp;" harmful",AA163&amp;" trivial")),IF(AA160&gt;$E$37,IF(AA164&lt;$E$36,AA161&amp;" beneficial","unclear; get more data"),IF(AA164&gt;25,AA165&amp;" harmful",AA163&amp;" trivial")))</f>
        <v>#VALUE!</v>
      </c>
      <c r="AB167" s="302" t="e">
        <f>IF($C$29&gt;1,IF(AB164&gt;$E$37,IF(AB160&lt;$E$36,AB165&amp;" beneficial","unclear; get more data"),IF(AB160&gt;25,AB161&amp;" harmful",AB163&amp;" trivial")),IF(AB160&gt;$E$37,IF(AB164&lt;$E$36,AB161&amp;" beneficial","unclear; get more data"),IF(AB164&gt;25,AB165&amp;" harmful",AB163&amp;" trivial")))</f>
        <v>#VALUE!</v>
      </c>
      <c r="AC167" s="302" t="e">
        <f>IF($C$29&gt;1,IF(AC164&gt;$E$37,IF(AC160&lt;$E$36,AC165&amp;" beneficial","unclear; get more data"),IF(AC160&gt;25,AC161&amp;" harmful",AC163&amp;" trivial")),IF(AC160&gt;$E$37,IF(AC164&lt;$E$36,AC161&amp;" beneficial","unclear; get more data"),IF(AC164&gt;25,AC165&amp;" harmful",AC163&amp;" trivial")))</f>
        <v>#VALUE!</v>
      </c>
      <c r="AD167" s="302" t="e">
        <f>IF($C$29&gt;1,IF(AD164&gt;$E$37,IF(AD160&lt;$E$36,AD165&amp;" beneficial","unclear; get more data"),IF(AD160&gt;25,AD161&amp;" harmful",AD163&amp;" trivial")),IF(AD160&gt;$E$37,IF(AD164&lt;$E$36,AD161&amp;" beneficial","unclear; get more data"),IF(AD164&gt;25,AD165&amp;" harmful",AD163&amp;" trivial")))</f>
        <v>#VALUE!</v>
      </c>
      <c r="AE167" s="302" t="e">
        <f>IF($C$29&gt;1,IF(AE164&gt;$E$37,IF(AE160&lt;$E$36,AE165&amp;" beneficial","unclear; get more data"),IF(AE160&gt;25,AE161&amp;" harmful",AE163&amp;" trivial")),IF(AE160&gt;$E$37,IF(AE164&lt;$E$36,AE161&amp;" beneficial","unclear; get more data"),IF(AE164&gt;25,AE165&amp;" harmful",AE163&amp;" trivial")))</f>
        <v>#DIV/0!</v>
      </c>
      <c r="AH167" s="369"/>
      <c r="AI167" s="370"/>
      <c r="AJ167" s="277"/>
      <c r="AK167" s="302"/>
      <c r="AL167" s="302"/>
      <c r="AM167" s="24"/>
      <c r="AN167" s="24"/>
      <c r="AO167" s="369" t="str">
        <f>"Clinical inference, based on threshold chances of harm and benefit of "&amp;$E$36&amp;"% and "&amp;$E$37&amp;"%"</f>
        <v>Clinical inference, based on threshold chances of harm and benefit of 0.5% and 25%</v>
      </c>
      <c r="AP167" s="370"/>
      <c r="AQ167" s="302" t="e">
        <f>IF($C$30&gt;0,IF(AQ164&gt;$E$37,IF(AQ160&lt;$E$36,AQ165&amp;" beneficial","unclear; get more data"),IF(AQ160&gt;25,AQ161&amp;" harmful",AQ163&amp;" trivial")),IF(AQ160&gt;$E$37,IF(AQ164&lt;$E$36,AQ161&amp;" beneficial","unclear; get more data"),IF(AQ164&gt;25,AQ165&amp;" harmful",AQ163&amp;" trivial")))</f>
        <v>#VALUE!</v>
      </c>
      <c r="AR167" s="302" t="e">
        <f>IF($C$30&gt;0,IF(AR164&gt;$E$37,IF(AR160&lt;$E$36,AR165&amp;" beneficial","unclear; get more data"),IF(AR160&gt;25,AR161&amp;" harmful",AR163&amp;" trivial")),IF(AR160&gt;$E$37,IF(AR164&lt;$E$36,AR161&amp;" beneficial","unclear; get more data"),IF(AR164&gt;25,AR165&amp;" harmful",AR163&amp;" trivial")))</f>
        <v>#VALUE!</v>
      </c>
      <c r="AS167" s="302" t="e">
        <f>IF($C$30&gt;0,IF(AS164&gt;$E$37,IF(AS160&lt;$E$36,AS165&amp;" beneficial","unclear; get more data"),IF(AS160&gt;25,AS161&amp;" harmful",AS163&amp;" trivial")),IF(AS160&gt;$E$37,IF(AS164&lt;$E$36,AS161&amp;" beneficial","unclear; get more data"),IF(AS164&gt;25,AS165&amp;" harmful",AS163&amp;" trivial")))</f>
        <v>#VALUE!</v>
      </c>
      <c r="AT167" s="302" t="e">
        <f>IF($C$30&gt;0,IF(AT164&gt;$E$37,IF(AT160&lt;$E$36,AT165&amp;" beneficial","unclear; get more data"),IF(AT160&gt;25,AT161&amp;" harmful",AT163&amp;" trivial")),IF(AT160&gt;$E$37,IF(AT164&lt;$E$36,AT161&amp;" beneficial","unclear; get more data"),IF(AT164&gt;25,AT165&amp;" harmful",AT163&amp;" trivial")))</f>
        <v>#VALUE!</v>
      </c>
      <c r="AU167" s="302" t="e">
        <f>IF($C$30&gt;0,IF(AU164&gt;$E$37,IF(AU160&lt;$E$36,AU165&amp;" beneficial","unclear; get more data"),IF(AU160&gt;25,AU161&amp;" harmful",AU163&amp;" trivial")),IF(AU160&gt;$E$37,IF(AU164&lt;$E$36,AU161&amp;" beneficial","unclear; get more data"),IF(AU164&gt;25,AU165&amp;" harmful",AU163&amp;" trivial")))</f>
        <v>#DIV/0!</v>
      </c>
    </row>
    <row r="168" spans="18:47" ht="12" customHeight="1">
      <c r="R168" s="369"/>
      <c r="S168" s="370"/>
      <c r="T168" s="303"/>
      <c r="U168" s="319"/>
      <c r="V168" s="319"/>
      <c r="W168" s="24"/>
      <c r="X168" s="24"/>
      <c r="Y168" s="369" t="s">
        <v>200</v>
      </c>
      <c r="Z168" s="370"/>
      <c r="AA168" s="319" t="e">
        <f>IF($C$29&gt;1,AA164/(100-AA164)/(AA160/(100-AA160)),AA160/(100-AA160)/(AA164/(100-AA164)))</f>
        <v>#VALUE!</v>
      </c>
      <c r="AB168" s="319" t="e">
        <f>IF($C$29&gt;1,AB164/(100-AB164)/(AB160/(100-AB160)),AB160/(100-AB160)/(AB164/(100-AB164)))</f>
        <v>#VALUE!</v>
      </c>
      <c r="AC168" s="319" t="e">
        <f>IF($C$29&gt;1,AC164/(100-AC164)/(AC160/(100-AC160)),AC160/(100-AC160)/(AC164/(100-AC164)))</f>
        <v>#VALUE!</v>
      </c>
      <c r="AD168" s="319" t="e">
        <f>IF($C$29&gt;1,AD164/(100-AD164)/(AD160/(100-AD160)),AD160/(100-AD160)/(AD164/(100-AD164)))</f>
        <v>#VALUE!</v>
      </c>
      <c r="AE168" s="319" t="e">
        <f>IF($C$29&gt;1,AE164/(100-AE164)/(AE160/(100-AE160)),AE160/(100-AE160)/(AE164/(100-AE164)))</f>
        <v>#DIV/0!</v>
      </c>
      <c r="AH168" s="369"/>
      <c r="AI168" s="370"/>
      <c r="AJ168" s="303"/>
      <c r="AK168" s="319"/>
      <c r="AL168" s="319"/>
      <c r="AM168" s="24"/>
      <c r="AN168" s="24"/>
      <c r="AO168" s="369" t="s">
        <v>200</v>
      </c>
      <c r="AP168" s="370"/>
      <c r="AQ168" s="319" t="e">
        <f>IF($C$30&gt;0,AQ164/(100-AQ164)/(AQ160/(100-AQ160)),AQ160/(100-AQ160)/(AQ164/(100-AQ164)))</f>
        <v>#VALUE!</v>
      </c>
      <c r="AR168" s="319" t="e">
        <f>IF($C$30&gt;0,AR164/(100-AR164)/(AR160/(100-AR160)),AR160/(100-AR160)/(AR164/(100-AR164)))</f>
        <v>#VALUE!</v>
      </c>
      <c r="AS168" s="319" t="e">
        <f>IF($C$30&gt;0,AS164/(100-AS164)/(AS160/(100-AS160)),AS160/(100-AS160)/(AS164/(100-AS164)))</f>
        <v>#VALUE!</v>
      </c>
      <c r="AT168" s="319" t="e">
        <f>IF($C$30&gt;0,AT164/(100-AT164)/(AT160/(100-AT160)),AT160/(100-AT160)/(AT164/(100-AT164)))</f>
        <v>#VALUE!</v>
      </c>
      <c r="AU168" s="319" t="e">
        <f>IF($C$30&gt;0,AU164/(100-AU164)/(AU160/(100-AU160)),AU160/(100-AU160)/(AU164/(100-AU164)))</f>
        <v>#DIV/0!</v>
      </c>
    </row>
    <row r="169" spans="18:47" ht="33.75" customHeight="1">
      <c r="R169" s="369"/>
      <c r="S169" s="370"/>
      <c r="T169" s="303"/>
      <c r="U169" s="277"/>
      <c r="V169" s="277"/>
      <c r="W169" s="24"/>
      <c r="X169" s="24"/>
      <c r="Y169" s="369" t="str">
        <f>"Clinical inference as above, but declaring beneficial when odds ratio of benefit/harm is &gt;"&amp;$E$38</f>
        <v>Clinical inference as above, but declaring beneficial when odds ratio of benefit/harm is &gt;66</v>
      </c>
      <c r="Z169" s="370"/>
      <c r="AA169" s="277" t="e">
        <f>IF(AA168&gt;$E$38,IF($C$29&gt;1,AA165,AA161)&amp;" beneficial",IF($C$29&gt;1,IF(AA164&gt;$E$37,IF(AA160&lt;$E$36,AA165&amp;" beneficial","unclear; get more data"),IF(AA160&gt;25,AA161&amp;" harmful",AA163&amp;" trivial")),IF(AA160&gt;$E$37,IF(AA164&lt;$E$36,AA161&amp;" beneficial","unclear; get more data"),IF(AA164&gt;25,AA165&amp;" harmful",AA163&amp;" trivial"))))</f>
        <v>#VALUE!</v>
      </c>
      <c r="AB169" s="277" t="e">
        <f>IF(AB168&gt;$E$38,IF($C$29&gt;1,AB165,AB161)&amp;" beneficial",IF($C$29&gt;1,IF(AB164&gt;$E$37,IF(AB160&lt;$E$36,AB165&amp;" beneficial","unclear; get more data"),IF(AB160&gt;25,AB161&amp;" harmful",AB163&amp;" trivial")),IF(AB160&gt;$E$37,IF(AB164&lt;$E$36,AB161&amp;" beneficial","unclear; get more data"),IF(AB164&gt;25,AB165&amp;" harmful",AB163&amp;" trivial"))))</f>
        <v>#VALUE!</v>
      </c>
      <c r="AC169" s="277" t="e">
        <f>IF(AC168&gt;$E$38,IF($C$29&gt;1,AC165,AC161)&amp;" beneficial",IF($C$29&gt;1,IF(AC164&gt;$E$37,IF(AC160&lt;$E$36,AC165&amp;" beneficial","unclear; get more data"),IF(AC160&gt;25,AC161&amp;" harmful",AC163&amp;" trivial")),IF(AC160&gt;$E$37,IF(AC164&lt;$E$36,AC161&amp;" beneficial","unclear; get more data"),IF(AC164&gt;25,AC165&amp;" harmful",AC163&amp;" trivial"))))</f>
        <v>#VALUE!</v>
      </c>
      <c r="AD169" s="277" t="e">
        <f>IF(AD168&gt;$E$38,IF($C$29&gt;1,AD165,AD161)&amp;" beneficial",IF($C$29&gt;1,IF(AD164&gt;$E$37,IF(AD160&lt;$E$36,AD165&amp;" beneficial","unclear; get more data"),IF(AD160&gt;25,AD161&amp;" harmful",AD163&amp;" trivial")),IF(AD160&gt;$E$37,IF(AD164&lt;$E$36,AD161&amp;" beneficial","unclear; get more data"),IF(AD164&gt;25,AD165&amp;" harmful",AD163&amp;" trivial"))))</f>
        <v>#VALUE!</v>
      </c>
      <c r="AE169" s="277" t="e">
        <f>IF(AE168&gt;$E$38,IF($C$29&gt;1,AE165,AE161)&amp;" beneficial",IF($C$29&gt;1,IF(AE164&gt;$E$37,IF(AE160&lt;$E$36,AE165&amp;" beneficial","unclear; get more data"),IF(AE160&gt;25,AE161&amp;" harmful",AE163&amp;" trivial")),IF(AE160&gt;$E$37,IF(AE164&lt;$E$36,AE161&amp;" beneficial","unclear; get more data"),IF(AE164&gt;25,AE165&amp;" harmful",AE163&amp;" trivial"))))</f>
        <v>#DIV/0!</v>
      </c>
      <c r="AH169" s="369"/>
      <c r="AI169" s="370"/>
      <c r="AJ169" s="303"/>
      <c r="AK169" s="277"/>
      <c r="AL169" s="277"/>
      <c r="AM169" s="24"/>
      <c r="AN169" s="24"/>
      <c r="AO169" s="369" t="str">
        <f>"Clinical inference as above, but declaring beneficial when odds ratio of benefit/harm is &gt;"&amp;$E$38</f>
        <v>Clinical inference as above, but declaring beneficial when odds ratio of benefit/harm is &gt;66</v>
      </c>
      <c r="AP169" s="370"/>
      <c r="AQ169" s="277" t="e">
        <f>IF(AQ168&gt;$E$38,IF($C$30&gt;0,AQ165,AQ161)&amp;" beneficial",IF($C$30&gt;0,IF(AQ164&gt;$E$37,IF(AQ160&lt;$E$36,AQ165&amp;" beneficial","unclear; get more data"),IF(AQ160&gt;25,AQ161&amp;" harmful",AQ163&amp;" trivial")),IF(AQ160&gt;$E$37,IF(AQ164&lt;$E$36,AQ161&amp;" beneficial","unclear; get more data"),IF(AQ164&gt;25,AQ165&amp;" harmful",AQ163&amp;" trivial"))))</f>
        <v>#VALUE!</v>
      </c>
      <c r="AR169" s="277" t="e">
        <f>IF(AR168&gt;$E$38,IF($C$30&gt;0,AR165,AR161)&amp;" beneficial",IF($C$30&gt;0,IF(AR164&gt;$E$37,IF(AR160&lt;$E$36,AR165&amp;" beneficial","unclear; get more data"),IF(AR160&gt;25,AR161&amp;" harmful",AR163&amp;" trivial")),IF(AR160&gt;$E$37,IF(AR164&lt;$E$36,AR161&amp;" beneficial","unclear; get more data"),IF(AR164&gt;25,AR165&amp;" harmful",AR163&amp;" trivial"))))</f>
        <v>#VALUE!</v>
      </c>
      <c r="AS169" s="277" t="e">
        <f>IF(AS168&gt;$E$38,IF($C$30&gt;0,AS165,AS161)&amp;" beneficial",IF($C$30&gt;0,IF(AS164&gt;$E$37,IF(AS160&lt;$E$36,AS165&amp;" beneficial","unclear; get more data"),IF(AS160&gt;25,AS161&amp;" harmful",AS163&amp;" trivial")),IF(AS160&gt;$E$37,IF(AS164&lt;$E$36,AS161&amp;" beneficial","unclear; get more data"),IF(AS164&gt;25,AS165&amp;" harmful",AS163&amp;" trivial"))))</f>
        <v>#VALUE!</v>
      </c>
      <c r="AT169" s="277" t="e">
        <f>IF(AT168&gt;$E$38,IF($C$30&gt;0,AT165,AT161)&amp;" beneficial",IF($C$30&gt;0,IF(AT164&gt;$E$37,IF(AT160&lt;$E$36,AT165&amp;" beneficial","unclear; get more data"),IF(AT160&gt;25,AT161&amp;" harmful",AT163&amp;" trivial")),IF(AT160&gt;$E$37,IF(AT164&lt;$E$36,AT161&amp;" beneficial","unclear; get more data"),IF(AT164&gt;25,AT165&amp;" harmful",AT163&amp;" trivial"))))</f>
        <v>#VALUE!</v>
      </c>
      <c r="AU169" s="277" t="e">
        <f>IF(AU168&gt;$E$38,IF($C$30&gt;0,AU165,AU161)&amp;" beneficial",IF($C$30&gt;0,IF(AU164&gt;$E$37,IF(AU160&lt;$E$36,AU165&amp;" beneficial","unclear; get more data"),IF(AU160&gt;25,AU161&amp;" harmful",AU163&amp;" trivial")),IF(AU160&gt;$E$37,IF(AU164&lt;$E$36,AU161&amp;" beneficial","unclear; get more data"),IF(AU164&gt;25,AU165&amp;" harmful",AU163&amp;" trivial"))))</f>
        <v>#DIV/0!</v>
      </c>
    </row>
    <row r="170" spans="18:47" ht="12.75">
      <c r="R170" s="22"/>
      <c r="S170" s="40"/>
      <c r="T170" s="40"/>
      <c r="U170" s="41"/>
      <c r="V170" s="41"/>
      <c r="Y170" s="34"/>
      <c r="Z170" s="24"/>
      <c r="AA170" s="24"/>
      <c r="AB170" s="24"/>
      <c r="AC170" s="35"/>
      <c r="AD170" s="35"/>
      <c r="AE170" s="35"/>
      <c r="AH170" s="22"/>
      <c r="AI170" s="25" t="s">
        <v>149</v>
      </c>
      <c r="AJ170" s="40"/>
      <c r="AK170" s="100">
        <f>$AQ$170</f>
        <v>401.0280162548906</v>
      </c>
      <c r="AL170" s="100">
        <f>$AQ$170</f>
        <v>401.0280162548906</v>
      </c>
      <c r="AO170" s="22"/>
      <c r="AP170" s="25" t="s">
        <v>149</v>
      </c>
      <c r="AQ170" s="104">
        <f>AK110</f>
        <v>401.0280162548906</v>
      </c>
      <c r="AR170" s="100">
        <f>$AQ$170</f>
        <v>401.0280162548906</v>
      </c>
      <c r="AS170" s="100">
        <f>$AQ$170</f>
        <v>401.0280162548906</v>
      </c>
      <c r="AT170" s="100">
        <f>$AQ$170</f>
        <v>401.0280162548906</v>
      </c>
      <c r="AU170" s="100">
        <f>$AQ$170</f>
        <v>401.0280162548906</v>
      </c>
    </row>
    <row r="171" spans="18:47" ht="12.75">
      <c r="R171" s="385" t="s">
        <v>175</v>
      </c>
      <c r="S171" s="386"/>
      <c r="T171" s="37"/>
      <c r="U171" s="56">
        <f aca="true" t="shared" si="67" ref="U171:V173">EXP(U258/100)</f>
        <v>0.9962102117385103</v>
      </c>
      <c r="V171" s="56">
        <f t="shared" si="67"/>
        <v>1.0252435527001278</v>
      </c>
      <c r="Y171" s="385" t="s">
        <v>148</v>
      </c>
      <c r="Z171" s="386"/>
      <c r="AA171" s="56">
        <f aca="true" t="shared" si="68" ref="AA171:AE173">EXP(AA258/100)</f>
        <v>1.0186199559977749</v>
      </c>
      <c r="AB171" s="56">
        <f t="shared" si="68"/>
        <v>1.0234711503542624</v>
      </c>
      <c r="AC171" s="56">
        <f t="shared" si="68"/>
        <v>1.0400415988568121</v>
      </c>
      <c r="AD171" s="56">
        <f t="shared" si="68"/>
        <v>1.0274927954993298</v>
      </c>
      <c r="AE171" s="56" t="e">
        <f t="shared" si="68"/>
        <v>#DIV/0!</v>
      </c>
      <c r="AH171" s="385" t="s">
        <v>172</v>
      </c>
      <c r="AI171" s="386"/>
      <c r="AJ171" s="187"/>
      <c r="AK171" s="59">
        <f>(PERCENTILE(allraw,(100*PERCENTRANK(allraw,AK170)+AK117+AK258)/100)-PERCENTILE(allraw,(100*PERCENTRANK(allraw,AK170)+AK117-AK258)/100))/2</f>
        <v>-14.982494786142922</v>
      </c>
      <c r="AL171" s="59">
        <f>(PERCENTILE(allraw,(100*PERCENTRANK(allraw,AL170)+AL117+AL258)/100)-PERCENTILE(allraw,(100*PERCENTRANK(allraw,AL170)+AL117-AL258)/100))/2</f>
        <v>-7.567306505452365</v>
      </c>
      <c r="AO171" s="385" t="s">
        <v>138</v>
      </c>
      <c r="AP171" s="386"/>
      <c r="AQ171" s="59">
        <f>(PERCENTILE(allraw,(100*PERCENTRANK(allraw,AQ170)+AQ117+AQ258)/100)-PERCENTILE(allraw,(100*PERCENTRANK(allraw,AQ170)+AQ117-AQ258)/100))/2</f>
        <v>4.317064741347082</v>
      </c>
      <c r="AR171" s="59">
        <f>(PERCENTILE(allraw,(100*PERCENTRANK(allraw,AR170)+AR117+AR258)/100)-PERCENTILE(allraw,(100*PERCENTRANK(allraw,AR170)+AR117-AR258)/100))/2</f>
        <v>9.301566795749551</v>
      </c>
      <c r="AS171" s="59">
        <f>(PERCENTILE(allraw,(100*PERCENTRANK(allraw,AS170)+AS117+AS258)/100)-PERCENTILE(allraw,(100*PERCENTRANK(allraw,AS170)+AS117-AS258)/100))/2</f>
        <v>12.998805636936765</v>
      </c>
      <c r="AT171" s="59">
        <f>(PERCENTILE(allraw,(100*PERCENTRANK(allraw,AT170)+AT117+AT258)/100)-PERCENTILE(allraw,(100*PERCENTRANK(allraw,AT170)+AT117-AT258)/100))/2</f>
        <v>9.155047706350615</v>
      </c>
      <c r="AU171" s="59" t="e">
        <f>(PERCENTILE(allraw,(100*PERCENTRANK(allraw,AU170)+AU117+AU258)/100)-PERCENTILE(allraw,(100*PERCENTRANK(allraw,AU170)+AU117-AU258)/100))/2</f>
        <v>#DIV/0!</v>
      </c>
    </row>
    <row r="172" spans="18:47" ht="12.75" customHeight="1">
      <c r="R172" s="377" t="s">
        <v>143</v>
      </c>
      <c r="S172" s="23" t="s">
        <v>9</v>
      </c>
      <c r="T172" s="23"/>
      <c r="U172" s="56">
        <f t="shared" si="67"/>
        <v>0.9537058057340589</v>
      </c>
      <c r="V172" s="56">
        <f t="shared" si="67"/>
        <v>0.9598095144631982</v>
      </c>
      <c r="Y172" s="377" t="s">
        <v>143</v>
      </c>
      <c r="Z172" s="23" t="s">
        <v>9</v>
      </c>
      <c r="AA172" s="56">
        <f t="shared" si="68"/>
        <v>0.9782228644948561</v>
      </c>
      <c r="AB172" s="56">
        <f t="shared" si="68"/>
        <v>0.9825899576292072</v>
      </c>
      <c r="AC172" s="56">
        <f t="shared" si="68"/>
        <v>1.020501712938502</v>
      </c>
      <c r="AD172" s="56">
        <f t="shared" si="68"/>
        <v>0.9805364096148577</v>
      </c>
      <c r="AE172" s="56" t="e">
        <f t="shared" si="68"/>
        <v>#DIV/0!</v>
      </c>
      <c r="AH172" s="377" t="s">
        <v>143</v>
      </c>
      <c r="AI172" s="23" t="s">
        <v>9</v>
      </c>
      <c r="AJ172" s="23"/>
      <c r="AK172" s="60" t="e">
        <f>(PERCENTILE(allraw,(100*PERCENTRANK(allraw,AK170)+AK117+AK259)/100)-PERCENTILE(allraw,(100*PERCENTRANK(allraw,AK170)+AK117-AK259)/100))/2</f>
        <v>#NUM!</v>
      </c>
      <c r="AL172" s="60">
        <f>(PERCENTILE(allraw,(100*PERCENTRANK(allraw,AL170)+AL117+AL259)/100)-PERCENTILE(allraw,(100*PERCENTRANK(allraw,AL170)+AL117-AL259)/100))/2</f>
        <v>-18.85648781678387</v>
      </c>
      <c r="AO172" s="377" t="s">
        <v>143</v>
      </c>
      <c r="AP172" s="23" t="s">
        <v>9</v>
      </c>
      <c r="AQ172" s="60">
        <f>(PERCENTILE(allraw,(100*PERCENTRANK(allraw,AQ170)+AQ117+AQ259)/100)-PERCENTILE(allraw,(100*PERCENTRANK(allraw,AQ170)+AQ117-AQ259)/100))/2</f>
        <v>-10.184938863456978</v>
      </c>
      <c r="AR172" s="60">
        <f>(PERCENTILE(allraw,(100*PERCENTRANK(allraw,AR170)+AR117+AR259)/100)-PERCENTILE(allraw,(100*PERCENTRANK(allraw,AR170)+AR117-AR259)/100))/2</f>
        <v>-6.001639649535463</v>
      </c>
      <c r="AS172" s="60">
        <f>(PERCENTILE(allraw,(100*PERCENTRANK(allraw,AS170)+AS117+AS259)/100)-PERCENTILE(allraw,(100*PERCENTRANK(allraw,AS170)+AS117-AS259)/100))/2</f>
        <v>7.245221647441355</v>
      </c>
      <c r="AT172" s="60">
        <f>(PERCENTILE(allraw,(100*PERCENTRANK(allraw,AT170)+AT117+AT259)/100)-PERCENTILE(allraw,(100*PERCENTRANK(allraw,AT170)+AT117-AT259)/100))/2</f>
        <v>-8.963298567920305</v>
      </c>
      <c r="AU172" s="60" t="e">
        <f>(PERCENTILE(allraw,(100*PERCENTRANK(allraw,AU170)+AU117+AU259)/100)-PERCENTILE(allraw,(100*PERCENTRANK(allraw,AU170)+AU117-AU259)/100))/2</f>
        <v>#DIV/0!</v>
      </c>
    </row>
    <row r="173" spans="18:47" ht="12.75" customHeight="1">
      <c r="R173" s="378"/>
      <c r="S173" s="12" t="s">
        <v>10</v>
      </c>
      <c r="T173" s="12"/>
      <c r="U173" s="56">
        <f t="shared" si="67"/>
        <v>1.0482214746161778</v>
      </c>
      <c r="V173" s="56">
        <f t="shared" si="67"/>
        <v>1.055579380915689</v>
      </c>
      <c r="Y173" s="378"/>
      <c r="Z173" s="12" t="s">
        <v>10</v>
      </c>
      <c r="AA173" s="56">
        <f t="shared" si="68"/>
        <v>1.0347287475797815</v>
      </c>
      <c r="AB173" s="56">
        <f t="shared" si="68"/>
        <v>1.0379160144662851</v>
      </c>
      <c r="AC173" s="56">
        <f t="shared" si="68"/>
        <v>1.0530399648788014</v>
      </c>
      <c r="AD173" s="56">
        <f t="shared" si="68"/>
        <v>1.0440410476136046</v>
      </c>
      <c r="AE173" s="56" t="e">
        <f t="shared" si="68"/>
        <v>#DIV/0!</v>
      </c>
      <c r="AH173" s="378"/>
      <c r="AI173" s="12" t="s">
        <v>10</v>
      </c>
      <c r="AJ173" s="12"/>
      <c r="AK173" s="64">
        <f>(PERCENTILE(allraw,(100*PERCENTRANK(allraw,AK170)+AK117+AK260)/100)-PERCENTILE(allraw,(100*PERCENTRANK(allraw,AK170)+AK117-AK260)/100))/2</f>
        <v>11.553777915431596</v>
      </c>
      <c r="AL173" s="64">
        <f>(PERCENTILE(allraw,(100*PERCENTRANK(allraw,AL170)+AL117+AL260)/100)-PERCENTILE(allraw,(100*PERCENTRANK(allraw,AL170)+AL117-AL260)/100))/2</f>
        <v>15.75403894286859</v>
      </c>
      <c r="AO173" s="378"/>
      <c r="AP173" s="12" t="s">
        <v>10</v>
      </c>
      <c r="AQ173" s="64">
        <f>(PERCENTILE(allraw,(100*PERCENTRANK(allraw,AQ170)+AQ117+AQ260)/100)-PERCENTILE(allraw,(100*PERCENTRANK(allraw,AQ170)+AQ117-AQ260)/100))/2</f>
        <v>11.800310692090704</v>
      </c>
      <c r="AR173" s="64">
        <f>(PERCENTILE(allraw,(100*PERCENTRANK(allraw,AR170)+AR117+AR260)/100)-PERCENTILE(allraw,(100*PERCENTRANK(allraw,AR170)+AR117-AR260)/100))/2</f>
        <v>14.08920416957821</v>
      </c>
      <c r="AS173" s="64">
        <f>(PERCENTILE(allraw,(100*PERCENTRANK(allraw,AS170)+AS117+AS260)/100)-PERCENTILE(allraw,(100*PERCENTRANK(allraw,AS170)+AS117-AS260)/100))/2</f>
        <v>17.11937068281449</v>
      </c>
      <c r="AT173" s="64">
        <f>(PERCENTILE(allraw,(100*PERCENTRANK(allraw,AT170)+AT117+AT260)/100)-PERCENTILE(allraw,(100*PERCENTRANK(allraw,AT170)+AT117-AT260)/100))/2</f>
        <v>14.806688998665663</v>
      </c>
      <c r="AU173" s="64" t="e">
        <f>(PERCENTILE(allraw,(100*PERCENTRANK(allraw,AU170)+AU117+AU260)/100)-PERCENTILE(allraw,(100*PERCENTRANK(allraw,AU170)+AU117-AU260)/100))/2</f>
        <v>#DIV/0!</v>
      </c>
    </row>
    <row r="174" s="116" customFormat="1" ht="12.75"/>
    <row r="175" spans="2:43" ht="12.75">
      <c r="B175" s="116" t="s">
        <v>4</v>
      </c>
      <c r="D175" s="116" t="str">
        <f>CONCATENATE($B$73,"-",$B$42," difference")</f>
        <v>Exptal-Control difference</v>
      </c>
      <c r="G175" s="84"/>
      <c r="H175" s="24"/>
      <c r="I175" s="116" t="s">
        <v>4</v>
      </c>
      <c r="K175" s="116" t="str">
        <f>CONCATENATE($B$73,"-",$B$42," difference")</f>
        <v>Exptal-Control difference</v>
      </c>
      <c r="R175" s="116" t="s">
        <v>5</v>
      </c>
      <c r="U175" s="116" t="str">
        <f>CONCATENATE($B$73,"-",$B$42," difference")</f>
        <v>Exptal-Control difference</v>
      </c>
      <c r="V175" s="116"/>
      <c r="Y175" s="116" t="s">
        <v>5</v>
      </c>
      <c r="AA175" s="116" t="str">
        <f>CONCATENATE($B$73,"-",$B$42," difference")</f>
        <v>Exptal-Control difference</v>
      </c>
      <c r="AH175" s="116" t="s">
        <v>102</v>
      </c>
      <c r="AK175" s="116" t="str">
        <f>CONCATENATE($B$73,"-",$B$42," difference")</f>
        <v>Exptal-Control difference</v>
      </c>
      <c r="AL175" s="116"/>
      <c r="AO175" s="116" t="s">
        <v>102</v>
      </c>
      <c r="AQ175" s="116" t="str">
        <f>CONCATENATE($B$73,"-",$B$42," difference")</f>
        <v>Exptal-Control difference</v>
      </c>
    </row>
    <row r="176" spans="2:47" s="120" customFormat="1" ht="30" customHeight="1">
      <c r="B176" s="425" t="s">
        <v>213</v>
      </c>
      <c r="C176" s="426"/>
      <c r="D176" s="206"/>
      <c r="E176" s="125" t="str">
        <f>E41</f>
        <v>Pre1</v>
      </c>
      <c r="F176" s="125" t="str">
        <f>F41</f>
        <v>Pre2</v>
      </c>
      <c r="I176" s="379" t="s">
        <v>212</v>
      </c>
      <c r="J176" s="380"/>
      <c r="K176" s="125" t="str">
        <f>K41</f>
        <v>Pre2-Pre1</v>
      </c>
      <c r="L176" s="125" t="str">
        <f>L41</f>
        <v>Post1-Pre2</v>
      </c>
      <c r="M176" s="125" t="str">
        <f>M41</f>
        <v>Post2-Pre2</v>
      </c>
      <c r="N176" s="125" t="str">
        <f>N41</f>
        <v>Post2-Post1</v>
      </c>
      <c r="O176" s="125" t="str">
        <f>O41</f>
        <v>other effect</v>
      </c>
      <c r="R176" s="425" t="s">
        <v>213</v>
      </c>
      <c r="S176" s="426"/>
      <c r="T176" s="206"/>
      <c r="U176" s="125" t="str">
        <f>U41</f>
        <v>Pre1</v>
      </c>
      <c r="V176" s="125" t="str">
        <f>V41</f>
        <v>Pre2</v>
      </c>
      <c r="Y176" s="379" t="s">
        <v>212</v>
      </c>
      <c r="Z176" s="380"/>
      <c r="AA176" s="125" t="str">
        <f>AA41</f>
        <v>Pre2-Pre1</v>
      </c>
      <c r="AB176" s="125" t="str">
        <f>AB41</f>
        <v>Post1-Pre2</v>
      </c>
      <c r="AC176" s="125" t="str">
        <f>AC41</f>
        <v>Post2-Pre2</v>
      </c>
      <c r="AD176" s="125" t="str">
        <f>AD41</f>
        <v>Post2-Post1</v>
      </c>
      <c r="AE176" s="125" t="str">
        <f>AE41</f>
        <v>other effect</v>
      </c>
      <c r="AH176" s="425" t="s">
        <v>213</v>
      </c>
      <c r="AI176" s="426"/>
      <c r="AJ176" s="206"/>
      <c r="AK176" s="125" t="str">
        <f>AK41</f>
        <v>Pre1</v>
      </c>
      <c r="AL176" s="125" t="str">
        <f>AL41</f>
        <v>Pre2</v>
      </c>
      <c r="AO176" s="379" t="s">
        <v>212</v>
      </c>
      <c r="AP176" s="380"/>
      <c r="AQ176" s="125" t="str">
        <f>AQ41</f>
        <v>Pre2-Pre1</v>
      </c>
      <c r="AR176" s="125" t="str">
        <f>AR41</f>
        <v>Post1-Pre2</v>
      </c>
      <c r="AS176" s="125" t="str">
        <f>AS41</f>
        <v>Post2-Pre2</v>
      </c>
      <c r="AT176" s="125" t="str">
        <f>AT41</f>
        <v>Post2-Post1</v>
      </c>
      <c r="AU176" s="125" t="str">
        <f>AU41</f>
        <v>other effect</v>
      </c>
    </row>
    <row r="177" spans="2:47" s="349" customFormat="1" ht="12.75">
      <c r="B177" s="346"/>
      <c r="C177" s="347" t="s">
        <v>142</v>
      </c>
      <c r="D177" s="351">
        <f>$E$35</f>
        <v>90</v>
      </c>
      <c r="E177" s="351">
        <f>$E$35</f>
        <v>90</v>
      </c>
      <c r="F177" s="351">
        <f>$E$35</f>
        <v>90</v>
      </c>
      <c r="I177" s="350"/>
      <c r="J177" s="347" t="s">
        <v>142</v>
      </c>
      <c r="K177" s="351">
        <f>$E$35</f>
        <v>90</v>
      </c>
      <c r="L177" s="351">
        <f>$E$35</f>
        <v>90</v>
      </c>
      <c r="M177" s="351">
        <f>$E$35</f>
        <v>90</v>
      </c>
      <c r="N177" s="351">
        <f>$E$35</f>
        <v>90</v>
      </c>
      <c r="O177" s="351">
        <f>$E$35</f>
        <v>90</v>
      </c>
      <c r="R177" s="350"/>
      <c r="S177" s="347" t="s">
        <v>142</v>
      </c>
      <c r="T177" s="351"/>
      <c r="U177" s="348">
        <f>$E$35</f>
        <v>90</v>
      </c>
      <c r="V177" s="348">
        <f>$E$35</f>
        <v>90</v>
      </c>
      <c r="Y177" s="350"/>
      <c r="Z177" s="347" t="s">
        <v>142</v>
      </c>
      <c r="AA177" s="348">
        <f>$E$35</f>
        <v>90</v>
      </c>
      <c r="AB177" s="348">
        <f>$E$35</f>
        <v>90</v>
      </c>
      <c r="AC177" s="348">
        <f>$E$35</f>
        <v>90</v>
      </c>
      <c r="AD177" s="348">
        <f>$E$35</f>
        <v>90</v>
      </c>
      <c r="AE177" s="348">
        <f>$E$35</f>
        <v>90</v>
      </c>
      <c r="AH177" s="350"/>
      <c r="AI177" s="347" t="s">
        <v>142</v>
      </c>
      <c r="AJ177" s="351"/>
      <c r="AK177" s="351">
        <f>$E$35</f>
        <v>90</v>
      </c>
      <c r="AL177" s="351">
        <f>$E$35</f>
        <v>90</v>
      </c>
      <c r="AO177" s="350"/>
      <c r="AP177" s="347" t="s">
        <v>142</v>
      </c>
      <c r="AQ177" s="351">
        <f>$E$35</f>
        <v>90</v>
      </c>
      <c r="AR177" s="351">
        <f>$E$35</f>
        <v>90</v>
      </c>
      <c r="AS177" s="351">
        <f>$E$35</f>
        <v>90</v>
      </c>
      <c r="AT177" s="351">
        <f>$E$35</f>
        <v>90</v>
      </c>
      <c r="AU177" s="351">
        <f>$E$35</f>
        <v>90</v>
      </c>
    </row>
    <row r="178" spans="2:47" ht="12.75" customHeight="1">
      <c r="B178" s="22"/>
      <c r="C178" s="25" t="s">
        <v>141</v>
      </c>
      <c r="D178" s="33">
        <f>D128</f>
        <v>36.522390431992946</v>
      </c>
      <c r="E178" s="33">
        <f>E128</f>
        <v>37.88204484418686</v>
      </c>
      <c r="F178" s="33">
        <f>F128</f>
        <v>37.85569661783449</v>
      </c>
      <c r="I178" s="22"/>
      <c r="J178" s="25" t="s">
        <v>141</v>
      </c>
      <c r="K178" s="33">
        <f>K122</f>
        <v>37.3534229306513</v>
      </c>
      <c r="L178" s="33">
        <f>L122</f>
        <v>35.270771079252434</v>
      </c>
      <c r="M178" s="33">
        <f>M122</f>
        <v>28.458687065635782</v>
      </c>
      <c r="N178" s="33">
        <f>N122</f>
        <v>35.83144114228867</v>
      </c>
      <c r="O178" s="38" t="e">
        <f>O122</f>
        <v>#DIV/0!</v>
      </c>
      <c r="R178" s="22"/>
      <c r="S178" s="25" t="s">
        <v>141</v>
      </c>
      <c r="T178" s="25"/>
      <c r="U178" s="33">
        <f>U122</f>
        <v>37.99977430695131</v>
      </c>
      <c r="V178" s="33">
        <f>V122</f>
        <v>37.606313604722494</v>
      </c>
      <c r="Y178" s="22"/>
      <c r="Z178" s="25" t="s">
        <v>141</v>
      </c>
      <c r="AA178" s="33">
        <f>AA122</f>
        <v>37.07934305852209</v>
      </c>
      <c r="AB178" s="33">
        <f>AB122</f>
        <v>35.81343177081094</v>
      </c>
      <c r="AC178" s="33">
        <f>AC122</f>
        <v>27.923429077369057</v>
      </c>
      <c r="AD178" s="33">
        <f>AD122</f>
        <v>35.673927338573336</v>
      </c>
      <c r="AE178" s="33" t="e">
        <f>AE122</f>
        <v>#DIV/0!</v>
      </c>
      <c r="AH178" s="22"/>
      <c r="AI178" s="25" t="s">
        <v>141</v>
      </c>
      <c r="AJ178" s="25"/>
      <c r="AK178" s="33">
        <f>AK122</f>
        <v>36.104930871492016</v>
      </c>
      <c r="AL178" s="33">
        <f>AL122</f>
        <v>37.79355930033655</v>
      </c>
      <c r="AO178" s="22"/>
      <c r="AP178" s="25" t="s">
        <v>141</v>
      </c>
      <c r="AQ178" s="33">
        <f>AQ122</f>
        <v>37.81475814994696</v>
      </c>
      <c r="AR178" s="33">
        <f>AR122</f>
        <v>35.524762894003075</v>
      </c>
      <c r="AS178" s="33">
        <f>AS122</f>
        <v>28.56568413157734</v>
      </c>
      <c r="AT178" s="33">
        <f>AT122</f>
        <v>36.55974852738329</v>
      </c>
      <c r="AU178" s="33" t="e">
        <f>AU122</f>
        <v>#DIV/0!</v>
      </c>
    </row>
    <row r="179" spans="2:47" ht="12.75">
      <c r="B179" s="22"/>
      <c r="C179" s="39" t="s">
        <v>233</v>
      </c>
      <c r="D179" s="45">
        <f>D129/D195</f>
        <v>-0.1423357358153996</v>
      </c>
      <c r="E179" s="36">
        <f>E129/E195</f>
        <v>-0.6564780108217646</v>
      </c>
      <c r="F179" s="36">
        <f>F129/F195</f>
        <v>-0.36439872739086077</v>
      </c>
      <c r="I179" s="22"/>
      <c r="J179" s="39" t="s">
        <v>233</v>
      </c>
      <c r="K179" s="45">
        <f>K129/K195</f>
        <v>0.2748393936911117</v>
      </c>
      <c r="L179" s="36">
        <f>L129/L195</f>
        <v>0.3043691685133887</v>
      </c>
      <c r="M179" s="36">
        <f>M129/M195</f>
        <v>0.1784134667183695</v>
      </c>
      <c r="N179" s="36">
        <f>N129/N195</f>
        <v>-0.12595570179501922</v>
      </c>
      <c r="O179" s="36" t="e">
        <f>O129/O195</f>
        <v>#DIV/0!</v>
      </c>
      <c r="R179" s="22"/>
      <c r="S179" s="39" t="s">
        <v>233</v>
      </c>
      <c r="T179" s="187"/>
      <c r="U179" s="45">
        <f>U245/U195</f>
        <v>-0.6487140731153032</v>
      </c>
      <c r="V179" s="45">
        <f>V245/V195</f>
        <v>-0.36308619291762195</v>
      </c>
      <c r="Y179" s="22"/>
      <c r="Z179" s="39" t="s">
        <v>233</v>
      </c>
      <c r="AA179" s="45">
        <f>AA245/AA195</f>
        <v>0.27257998887432894</v>
      </c>
      <c r="AB179" s="45">
        <f>AB245/AB195</f>
        <v>0.2937827274462816</v>
      </c>
      <c r="AC179" s="45">
        <f>AC245/AC195</f>
        <v>0.18315280833929895</v>
      </c>
      <c r="AD179" s="45">
        <f>AD245/AD195</f>
        <v>-0.11062991910698267</v>
      </c>
      <c r="AE179" s="45" t="e">
        <f>AE245/AE195</f>
        <v>#DIV/0!</v>
      </c>
      <c r="AH179" s="22"/>
      <c r="AI179" s="39" t="s">
        <v>233</v>
      </c>
      <c r="AJ179" s="39"/>
      <c r="AK179" s="45">
        <f>AK245/AK195</f>
        <v>-0.6528393424530624</v>
      </c>
      <c r="AL179" s="45">
        <f>AL245/AL195</f>
        <v>-0.33363112638301873</v>
      </c>
      <c r="AO179" s="22"/>
      <c r="AP179" s="39" t="s">
        <v>233</v>
      </c>
      <c r="AQ179" s="45">
        <f>AQ245/AQ195</f>
        <v>0.30556360433064617</v>
      </c>
      <c r="AR179" s="45">
        <f>AR245/AR195</f>
        <v>0.22080873597616033</v>
      </c>
      <c r="AS179" s="45">
        <f>AS245/AS195</f>
        <v>0.12490191125924224</v>
      </c>
      <c r="AT179" s="45">
        <f>AT245/AT195</f>
        <v>-0.09590682471691812</v>
      </c>
      <c r="AU179" s="45" t="e">
        <f>AU245/AU195</f>
        <v>#DIV/0!</v>
      </c>
    </row>
    <row r="180" spans="2:47" ht="12.75" customHeight="1">
      <c r="B180" s="387" t="s">
        <v>137</v>
      </c>
      <c r="C180" s="23" t="s">
        <v>9</v>
      </c>
      <c r="D180" s="57">
        <f>D130/D195</f>
        <v>-0.6651832388624334</v>
      </c>
      <c r="E180" s="57">
        <f>E130/E195</f>
        <v>-1.1793511800189669</v>
      </c>
      <c r="F180" s="57">
        <f>F130/F195</f>
        <v>-0.8872644468607477</v>
      </c>
      <c r="G180" s="55"/>
      <c r="H180" s="55"/>
      <c r="I180" s="387" t="s">
        <v>137</v>
      </c>
      <c r="J180" s="42" t="s">
        <v>9</v>
      </c>
      <c r="K180" s="57">
        <f>K130/K195</f>
        <v>-0.037025952303782625</v>
      </c>
      <c r="L180" s="57">
        <f>L130/L195</f>
        <v>-0.014716730709641681</v>
      </c>
      <c r="M180" s="57">
        <f>M130/M195</f>
        <v>-0.16584877835843545</v>
      </c>
      <c r="N180" s="57">
        <f>N130/N195</f>
        <v>-0.49206097564338025</v>
      </c>
      <c r="O180" s="57" t="e">
        <f>O130/O195</f>
        <v>#DIV/0!</v>
      </c>
      <c r="R180" s="387" t="s">
        <v>137</v>
      </c>
      <c r="S180" s="23" t="s">
        <v>9</v>
      </c>
      <c r="T180" s="42"/>
      <c r="U180" s="57">
        <f>U246/U195</f>
        <v>-1.1716204022292518</v>
      </c>
      <c r="V180" s="57">
        <f>V246/V195</f>
        <v>-0.8858808811037918</v>
      </c>
      <c r="Y180" s="387" t="s">
        <v>137</v>
      </c>
      <c r="Z180" s="42" t="s">
        <v>9</v>
      </c>
      <c r="AA180" s="57">
        <f>AA246/AA195</f>
        <v>-0.03423581346951172</v>
      </c>
      <c r="AB180" s="57">
        <f>AB246/AB195</f>
        <v>-0.014783201505470984</v>
      </c>
      <c r="AC180" s="57">
        <f>AC246/AC195</f>
        <v>-0.15446391399973639</v>
      </c>
      <c r="AD180" s="57">
        <f>AD246/AD195</f>
        <v>-0.46547478094828587</v>
      </c>
      <c r="AE180" s="57" t="e">
        <f>AE246/AE195</f>
        <v>#DIV/0!</v>
      </c>
      <c r="AH180" s="387" t="s">
        <v>137</v>
      </c>
      <c r="AI180" s="23" t="s">
        <v>9</v>
      </c>
      <c r="AJ180" s="42"/>
      <c r="AK180" s="57">
        <f>AK246/AK195</f>
        <v>-1.175558316940532</v>
      </c>
      <c r="AL180" s="57">
        <f>AL246/AL195</f>
        <v>-0.8564792356700477</v>
      </c>
      <c r="AO180" s="387" t="s">
        <v>137</v>
      </c>
      <c r="AP180" s="42" t="s">
        <v>9</v>
      </c>
      <c r="AQ180" s="57">
        <f>AQ246/AQ195</f>
        <v>-0.055752184702211646</v>
      </c>
      <c r="AR180" s="57">
        <f>AR246/AR195</f>
        <v>-0.12651531776309233</v>
      </c>
      <c r="AS180" s="57">
        <f>AS246/AS195</f>
        <v>-0.22433857792907452</v>
      </c>
      <c r="AT180" s="57">
        <f>AT246/AT195</f>
        <v>-0.48356172860416213</v>
      </c>
      <c r="AU180" s="57" t="e">
        <f>AU246/AU195</f>
        <v>#DIV/0!</v>
      </c>
    </row>
    <row r="181" spans="2:47" ht="12.75">
      <c r="B181" s="388"/>
      <c r="C181" s="12" t="s">
        <v>10</v>
      </c>
      <c r="D181" s="58">
        <f>D131/D195</f>
        <v>0.3805117672316341</v>
      </c>
      <c r="E181" s="58">
        <f>E131/E195</f>
        <v>-0.13360484162456235</v>
      </c>
      <c r="F181" s="58">
        <f>F131/F195</f>
        <v>0.15846699207902631</v>
      </c>
      <c r="G181" s="55"/>
      <c r="H181" s="55"/>
      <c r="I181" s="388"/>
      <c r="J181" s="12" t="s">
        <v>10</v>
      </c>
      <c r="K181" s="58">
        <f>K131/K195</f>
        <v>0.586704739686006</v>
      </c>
      <c r="L181" s="58">
        <f>L131/L195</f>
        <v>0.6234550677364191</v>
      </c>
      <c r="M181" s="58">
        <f>M131/M195</f>
        <v>0.5226757117951745</v>
      </c>
      <c r="N181" s="58">
        <f>N131/N195</f>
        <v>0.24014957205334186</v>
      </c>
      <c r="O181" s="58" t="e">
        <f>O131/O195</f>
        <v>#DIV/0!</v>
      </c>
      <c r="R181" s="388"/>
      <c r="S181" s="12" t="s">
        <v>10</v>
      </c>
      <c r="T181" s="42"/>
      <c r="U181" s="58">
        <f>U247/U195</f>
        <v>-0.12580774400135455</v>
      </c>
      <c r="V181" s="58">
        <f>V247/V195</f>
        <v>0.15970849526854794</v>
      </c>
      <c r="Y181" s="388"/>
      <c r="Z181" s="12" t="s">
        <v>10</v>
      </c>
      <c r="AA181" s="58">
        <f>AA247/AA195</f>
        <v>0.5793957912181695</v>
      </c>
      <c r="AB181" s="58">
        <f>AB247/AB195</f>
        <v>0.6023486563980341</v>
      </c>
      <c r="AC181" s="58">
        <f>AC247/AC195</f>
        <v>0.5207695306783343</v>
      </c>
      <c r="AD181" s="58">
        <f>AD247/AD195</f>
        <v>0.24421494273432054</v>
      </c>
      <c r="AE181" s="58" t="e">
        <f>AE247/AE195</f>
        <v>#DIV/0!</v>
      </c>
      <c r="AH181" s="388"/>
      <c r="AI181" s="12" t="s">
        <v>10</v>
      </c>
      <c r="AJ181" s="42"/>
      <c r="AK181" s="58">
        <f>AK247/AK195</f>
        <v>-0.13012036796559284</v>
      </c>
      <c r="AL181" s="58">
        <f>AL247/AL195</f>
        <v>0.18921698290401034</v>
      </c>
      <c r="AO181" s="388"/>
      <c r="AP181" s="12" t="s">
        <v>10</v>
      </c>
      <c r="AQ181" s="58">
        <f>AQ247/AQ195</f>
        <v>0.666879393363504</v>
      </c>
      <c r="AR181" s="58">
        <f>AR247/AR195</f>
        <v>0.5681327897154129</v>
      </c>
      <c r="AS181" s="58">
        <f>AS247/AS195</f>
        <v>0.474142400447559</v>
      </c>
      <c r="AT181" s="58">
        <f>AT247/AT195</f>
        <v>0.2917480791703259</v>
      </c>
      <c r="AU181" s="58" t="e">
        <f>AU247/AU195</f>
        <v>#DIV/0!</v>
      </c>
    </row>
    <row r="182" spans="2:47" ht="14.25">
      <c r="B182" s="389"/>
      <c r="C182" s="26" t="s">
        <v>11</v>
      </c>
      <c r="D182" s="65">
        <f>(D181-D180)/2</f>
        <v>0.5228475030470338</v>
      </c>
      <c r="E182" s="65">
        <f>(E181-E180)/2</f>
        <v>0.5228731691972023</v>
      </c>
      <c r="F182" s="65">
        <f>(F181-F180)/2</f>
        <v>0.522865719469887</v>
      </c>
      <c r="G182" s="55"/>
      <c r="H182" s="55"/>
      <c r="I182" s="389"/>
      <c r="J182" s="13" t="s">
        <v>11</v>
      </c>
      <c r="K182" s="65">
        <f>(K181-K180)/2</f>
        <v>0.3118653459948943</v>
      </c>
      <c r="L182" s="65">
        <f>(L181-L180)/2</f>
        <v>0.3190858992230304</v>
      </c>
      <c r="M182" s="65">
        <f>(M181-M180)/2</f>
        <v>0.344262245076805</v>
      </c>
      <c r="N182" s="65">
        <f>(N181-N180)/2</f>
        <v>0.36610527384836106</v>
      </c>
      <c r="O182" s="65" t="e">
        <f>(O181-O180)/2</f>
        <v>#DIV/0!</v>
      </c>
      <c r="R182" s="389"/>
      <c r="S182" s="26" t="s">
        <v>11</v>
      </c>
      <c r="T182" s="175"/>
      <c r="U182" s="65">
        <f>(U181-U180)/2</f>
        <v>0.5229063291139486</v>
      </c>
      <c r="V182" s="65">
        <f>(V181-V180)/2</f>
        <v>0.5227946881861699</v>
      </c>
      <c r="Y182" s="389"/>
      <c r="Z182" s="13" t="s">
        <v>11</v>
      </c>
      <c r="AA182" s="65">
        <f>(AA181-AA180)/2</f>
        <v>0.30681580234384065</v>
      </c>
      <c r="AB182" s="65">
        <f>(AB181-AB180)/2</f>
        <v>0.30856592895175255</v>
      </c>
      <c r="AC182" s="65">
        <f>(AC181-AC180)/2</f>
        <v>0.33761672233903534</v>
      </c>
      <c r="AD182" s="65">
        <f>(AD181-AD180)/2</f>
        <v>0.3548448618413032</v>
      </c>
      <c r="AE182" s="65" t="e">
        <f>(AE181-AE180)/2</f>
        <v>#DIV/0!</v>
      </c>
      <c r="AH182" s="389"/>
      <c r="AI182" s="26" t="s">
        <v>11</v>
      </c>
      <c r="AJ182" s="175"/>
      <c r="AK182" s="65">
        <f>(AK181-AK180)/2</f>
        <v>0.5227189744874695</v>
      </c>
      <c r="AL182" s="65">
        <f>(AL181-AL180)/2</f>
        <v>0.522848109287029</v>
      </c>
      <c r="AO182" s="389"/>
      <c r="AP182" s="13" t="s">
        <v>11</v>
      </c>
      <c r="AQ182" s="56">
        <f>AQ248/AK115</f>
        <v>0.36131578903285777</v>
      </c>
      <c r="AR182" s="56">
        <f>AR248/AK115</f>
        <v>0.3473240537392527</v>
      </c>
      <c r="AS182" s="56">
        <f>AS248/AK115</f>
        <v>0.34924048918831674</v>
      </c>
      <c r="AT182" s="56">
        <f>AT248/AK115</f>
        <v>0.38765490388724405</v>
      </c>
      <c r="AU182" s="56" t="e">
        <f>AU248/AL105</f>
        <v>#DIV/0!</v>
      </c>
    </row>
    <row r="183" spans="2:47" ht="12.75" customHeight="1">
      <c r="B183" s="371" t="s">
        <v>189</v>
      </c>
      <c r="C183" s="306" t="str">
        <f>"+ive or "&amp;IF($C$30&gt;0,"harmful","beneficial")</f>
        <v>+ive or beneficial</v>
      </c>
      <c r="D183" s="260">
        <v>0.2</v>
      </c>
      <c r="E183" s="260">
        <f>IF(ISBLANK($C$30),"",MAX($C$30,$D$30))</f>
      </c>
      <c r="F183" s="260">
        <f>IF(ISBLANK($C$30),"",MAX($C$30,$D$30))</f>
      </c>
      <c r="G183" s="55"/>
      <c r="H183" s="55"/>
      <c r="I183" s="371" t="s">
        <v>189</v>
      </c>
      <c r="J183" s="306" t="str">
        <f>"+ive or "&amp;IF($C$30&gt;0,"harmful","beneficial")</f>
        <v>+ive or beneficial</v>
      </c>
      <c r="K183" s="260">
        <f>IF(ISBLANK($C$30),"",MAX($C$30,$D$30))</f>
      </c>
      <c r="L183" s="260">
        <f>IF(ISBLANK($C$30),"",MAX($C$30,$D$30))</f>
      </c>
      <c r="M183" s="260">
        <f>IF(ISBLANK($C$30),"",MAX($C$30,$D$30))</f>
      </c>
      <c r="N183" s="260">
        <f>IF(ISBLANK($C$30),"",MAX($C$30,$D$30))</f>
      </c>
      <c r="O183" s="260">
        <f>IF(ISBLANK($C$30),"",MAX($C$30,$D$30))</f>
      </c>
      <c r="R183" s="371" t="s">
        <v>189</v>
      </c>
      <c r="S183" s="306" t="str">
        <f>"+ive or "&amp;IF($C$30&gt;0,"harmful","beneficial")</f>
        <v>+ive or beneficial</v>
      </c>
      <c r="T183" s="15"/>
      <c r="U183" s="260">
        <f>IF(ISBLANK($C$30),"",MAX($C$30,$D$30))</f>
      </c>
      <c r="V183" s="260">
        <f>IF(ISBLANK($C$30),"",MAX($C$30,$D$30))</f>
      </c>
      <c r="Y183" s="371" t="s">
        <v>189</v>
      </c>
      <c r="Z183" s="306" t="str">
        <f>"+ive or "&amp;IF($C$30&gt;0,"harmful","beneficial")</f>
        <v>+ive or beneficial</v>
      </c>
      <c r="AA183" s="260">
        <f>IF(ISBLANK($C$30),"",MAX($C$30,$D$30))</f>
      </c>
      <c r="AB183" s="260">
        <f>IF(ISBLANK($C$30),"",MAX($C$30,$D$30))</f>
      </c>
      <c r="AC183" s="260">
        <f>IF(ISBLANK($C$30),"",MAX($C$30,$D$30))</f>
      </c>
      <c r="AD183" s="260">
        <f>IF(ISBLANK($C$30),"",MAX($C$30,$D$30))</f>
      </c>
      <c r="AE183" s="260">
        <f>IF(ISBLANK($C$30),"",MAX($C$30,$D$30))</f>
      </c>
      <c r="AH183" s="371" t="s">
        <v>189</v>
      </c>
      <c r="AI183" s="306" t="str">
        <f>"+ive or "&amp;IF($C$30&gt;0,"harmful","beneficial")</f>
        <v>+ive or beneficial</v>
      </c>
      <c r="AJ183" s="15"/>
      <c r="AK183" s="260">
        <f>IF(ISBLANK($C$30),"",MAX($C$30,$D$30))</f>
      </c>
      <c r="AL183" s="260">
        <f>IF(ISBLANK($C$30),"",MAX($C$30,$D$30))</f>
      </c>
      <c r="AO183" s="371" t="s">
        <v>189</v>
      </c>
      <c r="AP183" s="306" t="str">
        <f>"+ive or "&amp;IF($C$30&gt;0,"harmful","beneficial")</f>
        <v>+ive or beneficial</v>
      </c>
      <c r="AQ183" s="260">
        <f>IF(ISBLANK($C$30),"",MAX($C$30,$D$30))</f>
      </c>
      <c r="AR183" s="260">
        <f>IF(ISBLANK($C$30),"",MAX($C$30,$D$30))</f>
      </c>
      <c r="AS183" s="260">
        <f>IF(ISBLANK($C$30),"",MAX($C$30,$D$30))</f>
      </c>
      <c r="AT183" s="260">
        <f>IF(ISBLANK($C$30),"",MAX($C$30,$D$30))</f>
      </c>
      <c r="AU183" s="260">
        <f>IF(ISBLANK($C$30),"",MAX($C$30,$D$30))</f>
      </c>
    </row>
    <row r="184" spans="2:47" ht="12.75">
      <c r="B184" s="372"/>
      <c r="C184" s="307" t="str">
        <f>"-ive or "&amp;IF($C$30&lt;0,"harmful","beneficial")</f>
        <v>-ive or beneficial</v>
      </c>
      <c r="D184" s="260">
        <v>-0.2</v>
      </c>
      <c r="E184" s="260">
        <f>IF(ISBLANK($C$30),"",MIN($C$30,$D$30))</f>
      </c>
      <c r="F184" s="260">
        <f>IF(ISBLANK($C$30),"",MIN($C$30,$D$30))</f>
      </c>
      <c r="G184" s="55"/>
      <c r="H184" s="55"/>
      <c r="I184" s="372"/>
      <c r="J184" s="307" t="str">
        <f>"-ive or "&amp;IF($C$30&lt;0,"harmful","beneficial")</f>
        <v>-ive or beneficial</v>
      </c>
      <c r="K184" s="260">
        <f>IF(ISBLANK($C$30),"",MIN($C$30,$D$30))</f>
      </c>
      <c r="L184" s="260">
        <f>IF(ISBLANK($C$30),"",MIN($C$30,$D$30))</f>
      </c>
      <c r="M184" s="260">
        <f>IF(ISBLANK($C$30),"",MIN($C$30,$D$30))</f>
      </c>
      <c r="N184" s="260">
        <f>IF(ISBLANK($C$30),"",MIN($C$30,$D$30))</f>
      </c>
      <c r="O184" s="260">
        <f>IF(ISBLANK($C$30),"",MIN($C$30,$D$30))</f>
      </c>
      <c r="R184" s="372"/>
      <c r="S184" s="307" t="str">
        <f>"-ive or "&amp;IF($C$30&lt;0,"harmful","beneficial")</f>
        <v>-ive or beneficial</v>
      </c>
      <c r="T184" s="14"/>
      <c r="U184" s="260">
        <f>IF(ISBLANK($C$30),"",MIN($C$30,$D$30))</f>
      </c>
      <c r="V184" s="260">
        <f>IF(ISBLANK($C$30),"",MIN($C$30,$D$30))</f>
      </c>
      <c r="Y184" s="372"/>
      <c r="Z184" s="307" t="str">
        <f>"-ive or "&amp;IF($C$30&lt;0,"harmful","beneficial")</f>
        <v>-ive or beneficial</v>
      </c>
      <c r="AA184" s="260">
        <f>IF(ISBLANK($C$30),"",MIN($C$30,$D$30))</f>
      </c>
      <c r="AB184" s="260">
        <f>IF(ISBLANK($C$30),"",MIN($C$30,$D$30))</f>
      </c>
      <c r="AC184" s="260">
        <f>IF(ISBLANK($C$30),"",MIN($C$30,$D$30))</f>
      </c>
      <c r="AD184" s="260">
        <f>IF(ISBLANK($C$30),"",MIN($C$30,$D$30))</f>
      </c>
      <c r="AE184" s="260">
        <f>IF(ISBLANK($C$30),"",MIN($C$30,$D$30))</f>
      </c>
      <c r="AH184" s="372"/>
      <c r="AI184" s="307" t="str">
        <f>"-ive or "&amp;IF($C$30&lt;0,"harmful","beneficial")</f>
        <v>-ive or beneficial</v>
      </c>
      <c r="AJ184" s="14"/>
      <c r="AK184" s="260">
        <f>IF(ISBLANK($C$30),"",MIN($C$30,$D$30))</f>
      </c>
      <c r="AL184" s="260">
        <f>IF(ISBLANK($C$30),"",MIN($C$30,$D$30))</f>
      </c>
      <c r="AO184" s="372"/>
      <c r="AP184" s="307" t="str">
        <f>"-ive or "&amp;IF($C$30&lt;0,"harmful","beneficial")</f>
        <v>-ive or beneficial</v>
      </c>
      <c r="AQ184" s="260">
        <f>IF(ISBLANK($C$30),"",MIN($C$30,$D$30))</f>
      </c>
      <c r="AR184" s="260">
        <f>IF(ISBLANK($C$30),"",MIN($C$30,$D$30))</f>
      </c>
      <c r="AS184" s="260">
        <f>IF(ISBLANK($C$30),"",MIN($C$30,$D$30))</f>
      </c>
      <c r="AT184" s="260">
        <f>IF(ISBLANK($C$30),"",MIN($C$30,$D$30))</f>
      </c>
      <c r="AU184" s="260">
        <f>IF(ISBLANK($C$30),"",MIN($C$30,$D$30))</f>
      </c>
    </row>
    <row r="185" spans="2:47" ht="12.75" customHeight="1">
      <c r="B185" s="381" t="s">
        <v>193</v>
      </c>
      <c r="C185" s="412" t="str">
        <f>"substantially positive (+ive) or "&amp;IF($C$30&gt;0,"harmful","beneficial")</f>
        <v>substantially positive (+ive) or beneficial</v>
      </c>
      <c r="D185" s="70">
        <f>IF(ISERROR(TDIST((D183*D195-D$117)/D$123,D178,1)),1-TDIST((D$117-D183*D195)/D$123,D178,1),TDIST((D183*D195-D$117)/D$123,D178,1))*100</f>
        <v>13.815596375729719</v>
      </c>
      <c r="E185" s="70" t="e">
        <f>IF(ISERROR(TDIST((E183*E195-E$117)/E$123,E178,1)),1-TDIST((E$117-E183*E195)/E$123,E178,1),TDIST((E183*E195-E$117)/E$123,E178,1))*100</f>
        <v>#VALUE!</v>
      </c>
      <c r="F185" s="70" t="e">
        <f>IF(ISERROR(TDIST((F183*F195-F$117)/F$123,F178,1)),1-TDIST((F$117-F183*F195)/F$123,F178,1),TDIST((F183*F195-F$117)/F$123,F178,1))*100</f>
        <v>#VALUE!</v>
      </c>
      <c r="G185" s="55"/>
      <c r="H185" s="55"/>
      <c r="I185" s="381" t="s">
        <v>193</v>
      </c>
      <c r="J185" s="412" t="str">
        <f>"substantially positive (+ive) or "&amp;IF($C$30&gt;0,"harmful","beneficial")</f>
        <v>substantially positive (+ive) or beneficial</v>
      </c>
      <c r="K185" s="70" t="e">
        <f>IF(ISERROR(TDIST((K183*K195-K$117)/K$123,K178,1)),1-TDIST((K$117-K183*K195)/K$123,K178,1),TDIST((K183*K195-K$117)/K$123,K178,1))*100</f>
        <v>#VALUE!</v>
      </c>
      <c r="L185" s="70" t="e">
        <f>IF(ISERROR(TDIST((L183*L195-L$117)/L$123,L178,1)),1-TDIST((L$117-L183*L195)/L$123,L178,1),TDIST((L183*L195-L$117)/L$123,L178,1))*100</f>
        <v>#VALUE!</v>
      </c>
      <c r="M185" s="70" t="e">
        <f>IF(ISERROR(TDIST((M183*M195-M$117)/M$123,M178,1)),1-TDIST((M$117-M183*M195)/M$123,M178,1),TDIST((M183*M195-M$117)/M$123,M178,1))*100</f>
        <v>#VALUE!</v>
      </c>
      <c r="N185" s="70" t="e">
        <f>IF(ISERROR(TDIST((N183*N195-N$117)/N$123,N178,1)),1-TDIST((N$117-N183*N195)/N$123,N178,1),TDIST((N183*N195-N$117)/N$123,N178,1))*100</f>
        <v>#VALUE!</v>
      </c>
      <c r="O185" s="70" t="e">
        <f>IF(ISERROR(TDIST((O183*O195-O$117)/O$123,O178,1)),1-TDIST((O$117-O183*O195)/O$123,O178,1),TDIST((O183*O195-O$117)/O$123,O178,1))*100</f>
        <v>#DIV/0!</v>
      </c>
      <c r="R185" s="381" t="s">
        <v>193</v>
      </c>
      <c r="S185" s="412" t="str">
        <f>"substantially positive (+ive) or "&amp;IF($C$30&gt;0,"harmful","beneficial")</f>
        <v>substantially positive (+ive) or beneficial</v>
      </c>
      <c r="T185" s="130"/>
      <c r="U185" s="70" t="e">
        <f>IF(ISERROR(TDIST((U183*U195-U$117)/U$123,U178,1)),1-TDIST((U$117-U183*U195)/U$123,U178,1),TDIST((U183*U195-U$117)/U$123,U178,1))*100</f>
        <v>#VALUE!</v>
      </c>
      <c r="V185" s="70" t="e">
        <f>IF(ISERROR(TDIST((V183*V195-V$117)/V$123,V178,1)),1-TDIST((V$117-V183*V195)/V$123,V178,1),TDIST((V183*V195-V$117)/V$123,V178,1))*100</f>
        <v>#VALUE!</v>
      </c>
      <c r="Y185" s="381" t="s">
        <v>193</v>
      </c>
      <c r="Z185" s="412" t="str">
        <f>"substantially positive (+ive) or "&amp;IF($C$30&gt;0,"harmful","beneficial")</f>
        <v>substantially positive (+ive) or beneficial</v>
      </c>
      <c r="AA185" s="70" t="e">
        <f>IF(ISERROR(TDIST((AA183*AA195-AA$117)/AA$123,AA178,1)),1-TDIST((AA$117-AA183*AA195)/AA$123,AA178,1),TDIST((AA183*AA195-AA$117)/AA$123,AA178,1))*100</f>
        <v>#VALUE!</v>
      </c>
      <c r="AB185" s="70" t="e">
        <f>IF(ISERROR(TDIST((AB183*AB195-AB$117)/AB$123,AB178,1)),1-TDIST((AB$117-AB183*AB195)/AB$123,AB178,1),TDIST((AB183*AB195-AB$117)/AB$123,AB178,1))*100</f>
        <v>#VALUE!</v>
      </c>
      <c r="AC185" s="70" t="e">
        <f>IF(ISERROR(TDIST((AC183*AC195-AC$117)/AC$123,AC178,1)),1-TDIST((AC$117-AC183*AC195)/AC$123,AC178,1),TDIST((AC183*AC195-AC$117)/AC$123,AC178,1))*100</f>
        <v>#VALUE!</v>
      </c>
      <c r="AD185" s="70" t="e">
        <f>IF(ISERROR(TDIST((AD183*AD195-AD$117)/AD$123,AD178,1)),1-TDIST((AD$117-AD183*AD195)/AD$123,AD178,1),TDIST((AD183*AD195-AD$117)/AD$123,AD178,1))*100</f>
        <v>#VALUE!</v>
      </c>
      <c r="AE185" s="70" t="e">
        <f>IF(ISERROR(TDIST((AE183*AE195-AE$117)/AE$123,AE178,1)),1-TDIST((AE$117-AE183*AE195)/AE$123,AE178,1),TDIST((AE183*AE195-AE$117)/AE$123,AE178,1))*100</f>
        <v>#DIV/0!</v>
      </c>
      <c r="AH185" s="381" t="s">
        <v>193</v>
      </c>
      <c r="AI185" s="412" t="str">
        <f>"substantially positive (+ive) or "&amp;IF($C$30&gt;0,"harmful","beneficial")</f>
        <v>substantially positive (+ive) or beneficial</v>
      </c>
      <c r="AJ185" s="130"/>
      <c r="AK185" s="70" t="e">
        <f>IF(ISERROR(TDIST((AK183*AK195-AK$117)/AK$123,AK178,1)),1-TDIST((AK$117-AK183*AK195)/AK$123,AK178,1),TDIST((AK183*AK195-AK$117)/AK$123,AK178,1))*100</f>
        <v>#VALUE!</v>
      </c>
      <c r="AL185" s="70" t="e">
        <f>IF(ISERROR(TDIST((AL183*AL195-AL$117)/AL$123,AL178,1)),1-TDIST((AL$117-AL183*AL195)/AL$123,AL178,1),TDIST((AL183*AL195-AL$117)/AL$123,AL178,1))*100</f>
        <v>#VALUE!</v>
      </c>
      <c r="AO185" s="381" t="s">
        <v>193</v>
      </c>
      <c r="AP185" s="412" t="str">
        <f>"substantially positive (+ive) or "&amp;IF($C$30&gt;0,"harmful","beneficial")</f>
        <v>substantially positive (+ive) or beneficial</v>
      </c>
      <c r="AQ185" s="70" t="e">
        <f>IF(ISERROR(TDIST((AQ183*AQ195-AQ$117)/AQ$123,AQ178,1)),1-TDIST((AQ$117-AQ183*AQ195)/AQ$123,AQ178,1),TDIST((AQ183*AQ195-AQ$117)/AQ$123,AQ178,1))*100</f>
        <v>#VALUE!</v>
      </c>
      <c r="AR185" s="70" t="e">
        <f>IF(ISERROR(TDIST((AR183*AR195-AR$117)/AR$123,AR178,1)),1-TDIST((AR$117-AR183*AR195)/AR$123,AR178,1),TDIST((AR183*AR195-AR$117)/AR$123,AR178,1))*100</f>
        <v>#VALUE!</v>
      </c>
      <c r="AS185" s="70" t="e">
        <f>IF(ISERROR(TDIST((AS183*AS195-AS$117)/AS$123,AS178,1)),1-TDIST((AS$117-AS183*AS195)/AS$123,AS178,1),TDIST((AS183*AS195-AS$117)/AS$123,AS178,1))*100</f>
        <v>#VALUE!</v>
      </c>
      <c r="AT185" s="70" t="e">
        <f>IF(ISERROR(TDIST((AT183*AT195-AT$117)/AT$123,AT178,1)),1-TDIST((AT$117-AT183*AT195)/AT$123,AT178,1),TDIST((AT183*AT195-AT$117)/AT$123,AT178,1))*100</f>
        <v>#VALUE!</v>
      </c>
      <c r="AU185" s="70" t="e">
        <f>IF(ISERROR(TDIST((AU183*AU195-AU$117)/AU$123,AU178,1)),1-TDIST((AU$117-AU183*AU195)/AU$123,AU178,1),TDIST((AU183*AU195-AU$117)/AU$123,AU178,1))*100</f>
        <v>#DIV/0!</v>
      </c>
    </row>
    <row r="186" spans="2:47" ht="24.75" customHeight="1">
      <c r="B186" s="382"/>
      <c r="C186" s="413"/>
      <c r="D186" s="21" t="str">
        <f>IF(D185&lt;0.5,"most unlikely",IF(D185&lt;5,"very unlikely",IF(D185&lt;25,"unlikely",IF(D185&lt;75,"possibly",IF(D185&lt;95,"likely",IF(D185&lt;99.5,"very likely","most likely"))))))</f>
        <v>unlikely</v>
      </c>
      <c r="E186" s="21" t="e">
        <f>IF(E185&lt;0.5,"most unlikely",IF(E185&lt;5,"very unlikely",IF(E185&lt;25,"unlikely",IF(E185&lt;75,"possibly",IF(E185&lt;95,"likely",IF(E185&lt;99.5,"very likely","most likely"))))))</f>
        <v>#VALUE!</v>
      </c>
      <c r="F186" s="21" t="e">
        <f>IF(F185&lt;0.5,"most unlikely",IF(F185&lt;5,"very unlikely",IF(F185&lt;25,"unlikely",IF(F185&lt;75,"possibly",IF(F185&lt;95,"likely",IF(F185&lt;99.5,"very likely","most likely"))))))</f>
        <v>#VALUE!</v>
      </c>
      <c r="G186" s="55"/>
      <c r="H186" s="55"/>
      <c r="I186" s="382"/>
      <c r="J186" s="413"/>
      <c r="K186" s="21" t="e">
        <f>IF(K185&lt;0.5,"most unlikely",IF(K185&lt;5,"very unlikely",IF(K185&lt;25,"unlikely",IF(K185&lt;75,"possibly",IF(K185&lt;95,"likely",IF(K185&lt;99.5,"very likely","most likely"))))))</f>
        <v>#VALUE!</v>
      </c>
      <c r="L186" s="21" t="e">
        <f>IF(L185&lt;0.5,"most unlikely",IF(L185&lt;5,"very unlikely",IF(L185&lt;25,"unlikely",IF(L185&lt;75,"possibly",IF(L185&lt;95,"likely",IF(L185&lt;99.5,"very likely","most likely"))))))</f>
        <v>#VALUE!</v>
      </c>
      <c r="M186" s="21" t="e">
        <f>IF(M185&lt;0.5,"most unlikely",IF(M185&lt;5,"very unlikely",IF(M185&lt;25,"unlikely",IF(M185&lt;75,"possibly",IF(M185&lt;95,"likely",IF(M185&lt;99.5,"very likely","most likely"))))))</f>
        <v>#VALUE!</v>
      </c>
      <c r="N186" s="21" t="e">
        <f>IF(N185&lt;0.5,"most unlikely",IF(N185&lt;5,"very unlikely",IF(N185&lt;25,"unlikely",IF(N185&lt;75,"possibly",IF(N185&lt;95,"likely",IF(N185&lt;99.5,"very likely","most likely"))))))</f>
        <v>#VALUE!</v>
      </c>
      <c r="O186" s="21" t="e">
        <f>IF(O185&lt;0.5,"most unlikely",IF(O185&lt;5,"very unlikely",IF(O185&lt;25,"unlikely",IF(O185&lt;75,"possibly",IF(O185&lt;95,"likely",IF(O185&lt;99.5,"very likely","most likely"))))))</f>
        <v>#DIV/0!</v>
      </c>
      <c r="R186" s="382"/>
      <c r="S186" s="413"/>
      <c r="T186" s="129"/>
      <c r="U186" s="21" t="e">
        <f>IF(U185&lt;0.5,"most unlikely",IF(U185&lt;5,"very unlikely",IF(U185&lt;25,"unlikely",IF(U185&lt;75,"possibly",IF(U185&lt;95,"likely",IF(U185&lt;99.5,"very likely","most likely"))))))</f>
        <v>#VALUE!</v>
      </c>
      <c r="V186" s="21" t="e">
        <f>IF(V185&lt;0.5,"most unlikely",IF(V185&lt;5,"very unlikely",IF(V185&lt;25,"unlikely",IF(V185&lt;75,"possibly",IF(V185&lt;95,"likely",IF(V185&lt;99.5,"very likely","most likely"))))))</f>
        <v>#VALUE!</v>
      </c>
      <c r="Y186" s="382"/>
      <c r="Z186" s="413"/>
      <c r="AA186" s="21" t="e">
        <f>IF(AA185&lt;0.5,"most unlikely",IF(AA185&lt;5,"very unlikely",IF(AA185&lt;25,"unlikely",IF(AA185&lt;75,"possibly",IF(AA185&lt;95,"likely",IF(AA185&lt;99.5,"very likely","most likely"))))))</f>
        <v>#VALUE!</v>
      </c>
      <c r="AB186" s="21" t="e">
        <f>IF(AB185&lt;0.5,"most unlikely",IF(AB185&lt;5,"very unlikely",IF(AB185&lt;25,"unlikely",IF(AB185&lt;75,"possibly",IF(AB185&lt;95,"likely",IF(AB185&lt;99.5,"very likely","most likely"))))))</f>
        <v>#VALUE!</v>
      </c>
      <c r="AC186" s="21" t="e">
        <f>IF(AC185&lt;0.5,"most unlikely",IF(AC185&lt;5,"very unlikely",IF(AC185&lt;25,"unlikely",IF(AC185&lt;75,"possibly",IF(AC185&lt;95,"likely",IF(AC185&lt;99.5,"very likely","most likely"))))))</f>
        <v>#VALUE!</v>
      </c>
      <c r="AD186" s="21" t="e">
        <f>IF(AD185&lt;0.5,"most unlikely",IF(AD185&lt;5,"very unlikely",IF(AD185&lt;25,"unlikely",IF(AD185&lt;75,"possibly",IF(AD185&lt;95,"likely",IF(AD185&lt;99.5,"very likely","most likely"))))))</f>
        <v>#VALUE!</v>
      </c>
      <c r="AE186" s="21" t="e">
        <f>IF(AE185&lt;0.5,"most unlikely",IF(AE185&lt;5,"very unlikely",IF(AE185&lt;25,"unlikely",IF(AE185&lt;75,"possibly",IF(AE185&lt;95,"likely",IF(AE185&lt;99.5,"very likely","most likely"))))))</f>
        <v>#DIV/0!</v>
      </c>
      <c r="AH186" s="382"/>
      <c r="AI186" s="413"/>
      <c r="AJ186" s="129"/>
      <c r="AK186" s="21" t="e">
        <f>IF(AK185&lt;0.5,"most unlikely",IF(AK185&lt;5,"very unlikely",IF(AK185&lt;25,"unlikely",IF(AK185&lt;75,"possibly",IF(AK185&lt;95,"likely",IF(AK185&lt;99.5,"very likely","most likely"))))))</f>
        <v>#VALUE!</v>
      </c>
      <c r="AL186" s="21" t="e">
        <f>IF(AL185&lt;0.5,"most unlikely",IF(AL185&lt;5,"very unlikely",IF(AL185&lt;25,"unlikely",IF(AL185&lt;75,"possibly",IF(AL185&lt;95,"likely",IF(AL185&lt;99.5,"very likely","most likely"))))))</f>
        <v>#VALUE!</v>
      </c>
      <c r="AO186" s="382"/>
      <c r="AP186" s="413"/>
      <c r="AQ186" s="21" t="e">
        <f>IF(AQ185&lt;0.5,"most unlikely",IF(AQ185&lt;5,"very unlikely",IF(AQ185&lt;25,"unlikely",IF(AQ185&lt;75,"possibly",IF(AQ185&lt;95,"likely",IF(AQ185&lt;99.5,"very likely","most likely"))))))</f>
        <v>#VALUE!</v>
      </c>
      <c r="AR186" s="21" t="e">
        <f>IF(AR185&lt;0.5,"most unlikely",IF(AR185&lt;5,"very unlikely",IF(AR185&lt;25,"unlikely",IF(AR185&lt;75,"possibly",IF(AR185&lt;95,"likely",IF(AR185&lt;99.5,"very likely","most likely"))))))</f>
        <v>#VALUE!</v>
      </c>
      <c r="AS186" s="21" t="e">
        <f>IF(AS185&lt;0.5,"most unlikely",IF(AS185&lt;5,"very unlikely",IF(AS185&lt;25,"unlikely",IF(AS185&lt;75,"possibly",IF(AS185&lt;95,"likely",IF(AS185&lt;99.5,"very likely","most likely"))))))</f>
        <v>#VALUE!</v>
      </c>
      <c r="AT186" s="21" t="e">
        <f>IF(AT185&lt;0.5,"most unlikely",IF(AT185&lt;5,"very unlikely",IF(AT185&lt;25,"unlikely",IF(AT185&lt;75,"possibly",IF(AT185&lt;95,"likely",IF(AT185&lt;99.5,"very likely","most likely"))))))</f>
        <v>#VALUE!</v>
      </c>
      <c r="AU186" s="21" t="e">
        <f>IF(AU185&lt;0.5,"most unlikely",IF(AU185&lt;5,"very unlikely",IF(AU185&lt;25,"unlikely",IF(AU185&lt;75,"possibly",IF(AU185&lt;95,"likely",IF(AU185&lt;99.5,"very likely","most likely"))))))</f>
        <v>#DIV/0!</v>
      </c>
    </row>
    <row r="187" spans="2:47" ht="12.75">
      <c r="B187" s="382"/>
      <c r="C187" s="373" t="s">
        <v>12</v>
      </c>
      <c r="D187" s="70">
        <f>100-D185-D189</f>
        <v>43.51776144464266</v>
      </c>
      <c r="E187" s="70" t="e">
        <f>100-E185-E189</f>
        <v>#VALUE!</v>
      </c>
      <c r="F187" s="70" t="e">
        <f>100-F185-F189</f>
        <v>#VALUE!</v>
      </c>
      <c r="G187" s="55"/>
      <c r="H187" s="55"/>
      <c r="I187" s="382"/>
      <c r="J187" s="373" t="s">
        <v>12</v>
      </c>
      <c r="K187" s="70" t="e">
        <f>100-K185-K189</f>
        <v>#VALUE!</v>
      </c>
      <c r="L187" s="70" t="e">
        <f>100-L185-L189</f>
        <v>#VALUE!</v>
      </c>
      <c r="M187" s="70" t="e">
        <f>100-M185-M189</f>
        <v>#VALUE!</v>
      </c>
      <c r="N187" s="70" t="e">
        <f>100-N185-N189</f>
        <v>#VALUE!</v>
      </c>
      <c r="O187" s="70" t="e">
        <f>100-O185-O189</f>
        <v>#DIV/0!</v>
      </c>
      <c r="R187" s="382"/>
      <c r="S187" s="373" t="s">
        <v>12</v>
      </c>
      <c r="T187" s="131"/>
      <c r="U187" s="70" t="e">
        <f>100-U185-U189</f>
        <v>#VALUE!</v>
      </c>
      <c r="V187" s="70" t="e">
        <f>100-V185-V189</f>
        <v>#VALUE!</v>
      </c>
      <c r="Y187" s="382"/>
      <c r="Z187" s="373" t="s">
        <v>12</v>
      </c>
      <c r="AA187" s="70" t="e">
        <f>100-AA185-AA189</f>
        <v>#VALUE!</v>
      </c>
      <c r="AB187" s="70" t="e">
        <f>100-AB185-AB189</f>
        <v>#VALUE!</v>
      </c>
      <c r="AC187" s="70" t="e">
        <f>100-AC185-AC189</f>
        <v>#VALUE!</v>
      </c>
      <c r="AD187" s="70" t="e">
        <f>100-AD185-AD189</f>
        <v>#VALUE!</v>
      </c>
      <c r="AE187" s="70" t="e">
        <f>100-AE185-AE189</f>
        <v>#DIV/0!</v>
      </c>
      <c r="AH187" s="382"/>
      <c r="AI187" s="373" t="s">
        <v>12</v>
      </c>
      <c r="AJ187" s="131"/>
      <c r="AK187" s="70" t="e">
        <f>100-AK185-AK189</f>
        <v>#VALUE!</v>
      </c>
      <c r="AL187" s="70" t="e">
        <f>100-AL185-AL189</f>
        <v>#VALUE!</v>
      </c>
      <c r="AO187" s="382"/>
      <c r="AP187" s="373" t="s">
        <v>12</v>
      </c>
      <c r="AQ187" s="70" t="e">
        <f>100-AQ185-AQ189</f>
        <v>#VALUE!</v>
      </c>
      <c r="AR187" s="70" t="e">
        <f>100-AR185-AR189</f>
        <v>#VALUE!</v>
      </c>
      <c r="AS187" s="70" t="e">
        <f>100-AS185-AS189</f>
        <v>#VALUE!</v>
      </c>
      <c r="AT187" s="70" t="e">
        <f>100-AT185-AT189</f>
        <v>#VALUE!</v>
      </c>
      <c r="AU187" s="70" t="e">
        <f>100-AU185-AU189</f>
        <v>#DIV/0!</v>
      </c>
    </row>
    <row r="188" spans="2:47" ht="27" customHeight="1">
      <c r="B188" s="382"/>
      <c r="C188" s="374"/>
      <c r="D188" s="21" t="str">
        <f>IF(D187&lt;0.5,"most unlikely",IF(D187&lt;5,"very unlikely",IF(D187&lt;25,"unlikely",IF(D187&lt;75,"possibly",IF(D187&lt;95,"likely",IF(D187&lt;99.5,"very likely","most likely"))))))</f>
        <v>possibly</v>
      </c>
      <c r="E188" s="21" t="e">
        <f>IF(E187&lt;0.5,"most unlikely",IF(E187&lt;5,"very unlikely",IF(E187&lt;25,"unlikely",IF(E187&lt;75,"possibly",IF(E187&lt;95,"likely",IF(E187&lt;99.5,"very likely","most likely"))))))</f>
        <v>#VALUE!</v>
      </c>
      <c r="F188" s="21" t="e">
        <f>IF(F187&lt;0.5,"most unlikely",IF(F187&lt;5,"very unlikely",IF(F187&lt;25,"unlikely",IF(F187&lt;75,"possibly",IF(F187&lt;95,"likely",IF(F187&lt;99.5,"very likely","most likely"))))))</f>
        <v>#VALUE!</v>
      </c>
      <c r="G188" s="55"/>
      <c r="H188" s="55"/>
      <c r="I188" s="382"/>
      <c r="J188" s="374"/>
      <c r="K188" s="21" t="e">
        <f>IF(K187&lt;0.5,"most unlikely",IF(K187&lt;5,"very unlikely",IF(K187&lt;25,"unlikely",IF(K187&lt;75,"possibly",IF(K187&lt;95,"likely",IF(K187&lt;99.5,"very likely","most likely"))))))</f>
        <v>#VALUE!</v>
      </c>
      <c r="L188" s="21" t="e">
        <f>IF(L187&lt;0.5,"most unlikely",IF(L187&lt;5,"very unlikely",IF(L187&lt;25,"unlikely",IF(L187&lt;75,"possibly",IF(L187&lt;95,"likely",IF(L187&lt;99.5,"very likely","most likely"))))))</f>
        <v>#VALUE!</v>
      </c>
      <c r="M188" s="21" t="e">
        <f>IF(M187&lt;0.5,"most unlikely",IF(M187&lt;5,"very unlikely",IF(M187&lt;25,"unlikely",IF(M187&lt;75,"possibly",IF(M187&lt;95,"likely",IF(M187&lt;99.5,"very likely","most likely"))))))</f>
        <v>#VALUE!</v>
      </c>
      <c r="N188" s="21" t="e">
        <f>IF(N187&lt;0.5,"most unlikely",IF(N187&lt;5,"very unlikely",IF(N187&lt;25,"unlikely",IF(N187&lt;75,"possibly",IF(N187&lt;95,"likely",IF(N187&lt;99.5,"very likely","most likely"))))))</f>
        <v>#VALUE!</v>
      </c>
      <c r="O188" s="21" t="e">
        <f>IF(O187&lt;0.5,"most unlikely",IF(O187&lt;5,"very unlikely",IF(O187&lt;25,"unlikely",IF(O187&lt;75,"possibly",IF(O187&lt;95,"likely",IF(O187&lt;99.5,"very likely","most likely"))))))</f>
        <v>#DIV/0!</v>
      </c>
      <c r="R188" s="382"/>
      <c r="S188" s="374"/>
      <c r="T188" s="132"/>
      <c r="U188" s="21" t="e">
        <f>IF(U187&lt;0.5,"most unlikely",IF(U187&lt;5,"very unlikely",IF(U187&lt;25,"unlikely",IF(U187&lt;75,"possibly",IF(U187&lt;95,"likely",IF(U187&lt;99.5,"very likely","most likely"))))))</f>
        <v>#VALUE!</v>
      </c>
      <c r="V188" s="21" t="e">
        <f>IF(V187&lt;0.5,"most unlikely",IF(V187&lt;5,"very unlikely",IF(V187&lt;25,"unlikely",IF(V187&lt;75,"possibly",IF(V187&lt;95,"likely",IF(V187&lt;99.5,"very likely","most likely"))))))</f>
        <v>#VALUE!</v>
      </c>
      <c r="Y188" s="382"/>
      <c r="Z188" s="374"/>
      <c r="AA188" s="21" t="e">
        <f>IF(AA187&lt;0.5,"most unlikely",IF(AA187&lt;5,"very unlikely",IF(AA187&lt;25,"unlikely",IF(AA187&lt;75,"possibly",IF(AA187&lt;95,"likely",IF(AA187&lt;99.5,"very likely","most likely"))))))</f>
        <v>#VALUE!</v>
      </c>
      <c r="AB188" s="21" t="e">
        <f>IF(AB187&lt;0.5,"most unlikely",IF(AB187&lt;5,"very unlikely",IF(AB187&lt;25,"unlikely",IF(AB187&lt;75,"possibly",IF(AB187&lt;95,"likely",IF(AB187&lt;99.5,"very likely","most likely"))))))</f>
        <v>#VALUE!</v>
      </c>
      <c r="AC188" s="21" t="e">
        <f>IF(AC187&lt;0.5,"most unlikely",IF(AC187&lt;5,"very unlikely",IF(AC187&lt;25,"unlikely",IF(AC187&lt;75,"possibly",IF(AC187&lt;95,"likely",IF(AC187&lt;99.5,"very likely","most likely"))))))</f>
        <v>#VALUE!</v>
      </c>
      <c r="AD188" s="21" t="e">
        <f>IF(AD187&lt;0.5,"most unlikely",IF(AD187&lt;5,"very unlikely",IF(AD187&lt;25,"unlikely",IF(AD187&lt;75,"possibly",IF(AD187&lt;95,"likely",IF(AD187&lt;99.5,"very likely","most likely"))))))</f>
        <v>#VALUE!</v>
      </c>
      <c r="AE188" s="21" t="e">
        <f>IF(AE187&lt;0.5,"most unlikely",IF(AE187&lt;5,"very unlikely",IF(AE187&lt;25,"unlikely",IF(AE187&lt;75,"possibly",IF(AE187&lt;95,"likely",IF(AE187&lt;99.5,"very likely","most likely"))))))</f>
        <v>#DIV/0!</v>
      </c>
      <c r="AH188" s="382"/>
      <c r="AI188" s="374"/>
      <c r="AJ188" s="132"/>
      <c r="AK188" s="21" t="e">
        <f>IF(AK187&lt;0.5,"most unlikely",IF(AK187&lt;5,"very unlikely",IF(AK187&lt;25,"unlikely",IF(AK187&lt;75,"possibly",IF(AK187&lt;95,"likely",IF(AK187&lt;99.5,"very likely","most likely"))))))</f>
        <v>#VALUE!</v>
      </c>
      <c r="AL188" s="21" t="e">
        <f>IF(AL187&lt;0.5,"most unlikely",IF(AL187&lt;5,"very unlikely",IF(AL187&lt;25,"unlikely",IF(AL187&lt;75,"possibly",IF(AL187&lt;95,"likely",IF(AL187&lt;99.5,"very likely","most likely"))))))</f>
        <v>#VALUE!</v>
      </c>
      <c r="AO188" s="382"/>
      <c r="AP188" s="374"/>
      <c r="AQ188" s="21" t="e">
        <f>IF(AQ187&lt;0.5,"most unlikely",IF(AQ187&lt;5,"very unlikely",IF(AQ187&lt;25,"unlikely",IF(AQ187&lt;75,"possibly",IF(AQ187&lt;95,"likely",IF(AQ187&lt;99.5,"very likely","most likely"))))))</f>
        <v>#VALUE!</v>
      </c>
      <c r="AR188" s="21" t="e">
        <f>IF(AR187&lt;0.5,"most unlikely",IF(AR187&lt;5,"very unlikely",IF(AR187&lt;25,"unlikely",IF(AR187&lt;75,"possibly",IF(AR187&lt;95,"likely",IF(AR187&lt;99.5,"very likely","most likely"))))))</f>
        <v>#VALUE!</v>
      </c>
      <c r="AS188" s="21" t="e">
        <f>IF(AS187&lt;0.5,"most unlikely",IF(AS187&lt;5,"very unlikely",IF(AS187&lt;25,"unlikely",IF(AS187&lt;75,"possibly",IF(AS187&lt;95,"likely",IF(AS187&lt;99.5,"very likely","most likely"))))))</f>
        <v>#VALUE!</v>
      </c>
      <c r="AT188" s="21" t="e">
        <f>IF(AT187&lt;0.5,"most unlikely",IF(AT187&lt;5,"very unlikely",IF(AT187&lt;25,"unlikely",IF(AT187&lt;75,"possibly",IF(AT187&lt;95,"likely",IF(AT187&lt;99.5,"very likely","most likely"))))))</f>
        <v>#VALUE!</v>
      </c>
      <c r="AU188" s="21" t="e">
        <f>IF(AU187&lt;0.5,"most unlikely",IF(AU187&lt;5,"very unlikely",IF(AU187&lt;25,"unlikely",IF(AU187&lt;75,"possibly",IF(AU187&lt;95,"likely",IF(AU187&lt;99.5,"very likely","most likely"))))))</f>
        <v>#DIV/0!</v>
      </c>
    </row>
    <row r="189" spans="2:47" ht="12.75" customHeight="1">
      <c r="B189" s="382"/>
      <c r="C189" s="383" t="str">
        <f>"substantially negative (-ive) or "&amp;IF($C$30&lt;0,"harmful","beneficial")</f>
        <v>substantially negative (-ive) or beneficial</v>
      </c>
      <c r="D189" s="70">
        <f>IF(ISERROR(TDIST((D184*D195-D$117)/D$123,D178,1)),TDIST((D$117-D184*D195)/D$123,D178,1),1-TDIST((D184*D195-D$117)/D$123,D178,1))*100</f>
        <v>42.66664217962763</v>
      </c>
      <c r="E189" s="70" t="e">
        <f>IF(ISERROR(TDIST((E184*E195-E$117)/E$123,E178,1)),TDIST((E$117-E184*E195)/E$123,E178,1),1-TDIST((E184*E195-E$117)/E$123,E178,1))*100</f>
        <v>#VALUE!</v>
      </c>
      <c r="F189" s="70" t="e">
        <f>IF(ISERROR(TDIST((F184*F195-F$117)/F$123,F178,1)),TDIST((F$117-F184*F195)/F$123,F178,1),1-TDIST((F184*F195-F$117)/F$123,F178,1))*100</f>
        <v>#VALUE!</v>
      </c>
      <c r="G189" s="55"/>
      <c r="H189" s="55"/>
      <c r="I189" s="382"/>
      <c r="J189" s="383" t="str">
        <f>"substantially negative (-ive) or "&amp;IF($C$30&lt;0,"harmful","beneficial")</f>
        <v>substantially negative (-ive) or beneficial</v>
      </c>
      <c r="K189" s="70" t="e">
        <f>IF(ISERROR(TDIST((K184*K195-K$117)/K$123,K178,1)),TDIST((K$117-K184*K195)/K$123,K178,1),1-TDIST((K184*K195-K$117)/K$123,K178,1))*100</f>
        <v>#VALUE!</v>
      </c>
      <c r="L189" s="70" t="e">
        <f>IF(ISERROR(TDIST((L184*L195-L$117)/L$123,L178,1)),TDIST((L$117-L184*L195)/L$123,L178,1),1-TDIST((L184*L195-L$117)/L$123,L178,1))*100</f>
        <v>#VALUE!</v>
      </c>
      <c r="M189" s="70" t="e">
        <f>IF(ISERROR(TDIST((M184*M195-M$117)/M$123,M178,1)),TDIST((M$117-M184*M195)/M$123,M178,1),1-TDIST((M184*M195-M$117)/M$123,M178,1))*100</f>
        <v>#VALUE!</v>
      </c>
      <c r="N189" s="70" t="e">
        <f>IF(ISERROR(TDIST((N184*N195-N$117)/N$123,N178,1)),TDIST((N$117-N184*N195)/N$123,N178,1),1-TDIST((N184*N195-N$117)/N$123,N178,1))*100</f>
        <v>#VALUE!</v>
      </c>
      <c r="O189" s="70" t="e">
        <f>IF(ISERROR(TDIST((O184*O195-O$117)/O$123,O178,1)),TDIST((O$117-O184*O195)/O$123,O178,1),1-TDIST((O184*O195-O$117)/O$123,O178,1))*100</f>
        <v>#DIV/0!</v>
      </c>
      <c r="R189" s="382"/>
      <c r="S189" s="383" t="str">
        <f>"substantially negative (-ive) or "&amp;IF($C$30&lt;0,"harmful","beneficial")</f>
        <v>substantially negative (-ive) or beneficial</v>
      </c>
      <c r="T189" s="133"/>
      <c r="U189" s="70" t="e">
        <f>IF(ISERROR(TDIST((U184*U195-U$117)/U$123,U178,1)),TDIST((U$117-U184*U195)/U$123,U178,1),1-TDIST((U184*U195-U$117)/U$123,U178,1))*100</f>
        <v>#VALUE!</v>
      </c>
      <c r="V189" s="70" t="e">
        <f>IF(ISERROR(TDIST((V184*V195-V$117)/V$123,V178,1)),TDIST((V$117-V184*V195)/V$123,V178,1),1-TDIST((V184*V195-V$117)/V$123,V178,1))*100</f>
        <v>#VALUE!</v>
      </c>
      <c r="Y189" s="382"/>
      <c r="Z189" s="383" t="str">
        <f>"substantially negative (-ive) or "&amp;IF($C$30&lt;0,"harmful","beneficial")</f>
        <v>substantially negative (-ive) or beneficial</v>
      </c>
      <c r="AA189" s="70" t="e">
        <f>IF(ISERROR(TDIST((AA184*AA195-AA$117)/AA$123,AA178,1)),TDIST((AA$117-AA184*AA195)/AA$123,AA178,1),1-TDIST((AA184*AA195-AA$117)/AA$123,AA178,1))*100</f>
        <v>#VALUE!</v>
      </c>
      <c r="AB189" s="70" t="e">
        <f>IF(ISERROR(TDIST((AB184*AB195-AB$117)/AB$123,AB178,1)),TDIST((AB$117-AB184*AB195)/AB$123,AB178,1),1-TDIST((AB184*AB195-AB$117)/AB$123,AB178,1))*100</f>
        <v>#VALUE!</v>
      </c>
      <c r="AC189" s="70" t="e">
        <f>IF(ISERROR(TDIST((AC184*AC195-AC$117)/AC$123,AC178,1)),TDIST((AC$117-AC184*AC195)/AC$123,AC178,1),1-TDIST((AC184*AC195-AC$117)/AC$123,AC178,1))*100</f>
        <v>#VALUE!</v>
      </c>
      <c r="AD189" s="70" t="e">
        <f>IF(ISERROR(TDIST((AD184*AD195-AD$117)/AD$123,AD178,1)),TDIST((AD$117-AD184*AD195)/AD$123,AD178,1),1-TDIST((AD184*AD195-AD$117)/AD$123,AD178,1))*100</f>
        <v>#VALUE!</v>
      </c>
      <c r="AE189" s="70" t="e">
        <f>IF(ISERROR(TDIST((AE184*AE195-AE$117)/AE$123,AE178,1)),TDIST((AE$117-AE184*AE195)/AE$123,AE178,1),1-TDIST((AE184*AE195-AE$117)/AE$123,AE178,1))*100</f>
        <v>#DIV/0!</v>
      </c>
      <c r="AH189" s="382"/>
      <c r="AI189" s="383" t="str">
        <f>"substantially negative (-ive) or "&amp;IF($C$30&lt;0,"harmful","beneficial")</f>
        <v>substantially negative (-ive) or beneficial</v>
      </c>
      <c r="AJ189" s="133"/>
      <c r="AK189" s="70" t="e">
        <f>IF(ISERROR(TDIST((AK184*AK195-AK$117)/AK$123,AK178,1)),TDIST((AK$117-AK184*AK195)/AK$123,AK178,1),1-TDIST((AK184*AK195-AK$117)/AK$123,AK178,1))*100</f>
        <v>#VALUE!</v>
      </c>
      <c r="AL189" s="70" t="e">
        <f>IF(ISERROR(TDIST((AL184*AL195-AL$117)/AL$123,AL178,1)),TDIST((AL$117-AL184*AL195)/AL$123,AL178,1),1-TDIST((AL184*AL195-AL$117)/AL$123,AL178,1))*100</f>
        <v>#VALUE!</v>
      </c>
      <c r="AO189" s="382"/>
      <c r="AP189" s="383" t="str">
        <f>"substantially negative (-ive) or "&amp;IF($C$30&lt;0,"harmful","beneficial")</f>
        <v>substantially negative (-ive) or beneficial</v>
      </c>
      <c r="AQ189" s="70" t="e">
        <f>IF(ISERROR(TDIST((AQ184*AQ195-AQ$117)/AQ$123,AQ178,1)),TDIST((AQ$117-AQ184*AQ195)/AQ$123,AQ178,1),1-TDIST((AQ184*AQ195-AQ$117)/AQ$123,AQ178,1))*100</f>
        <v>#VALUE!</v>
      </c>
      <c r="AR189" s="70" t="e">
        <f>IF(ISERROR(TDIST((AR184*AR195-AR$117)/AR$123,AR178,1)),TDIST((AR$117-AR184*AR195)/AR$123,AR178,1),1-TDIST((AR184*AR195-AR$117)/AR$123,AR178,1))*100</f>
        <v>#VALUE!</v>
      </c>
      <c r="AS189" s="70" t="e">
        <f>IF(ISERROR(TDIST((AS184*AS195-AS$117)/AS$123,AS178,1)),TDIST((AS$117-AS184*AS195)/AS$123,AS178,1),1-TDIST((AS184*AS195-AS$117)/AS$123,AS178,1))*100</f>
        <v>#VALUE!</v>
      </c>
      <c r="AT189" s="70" t="e">
        <f>IF(ISERROR(TDIST((AT184*AT195-AT$117)/AT$123,AT178,1)),TDIST((AT$117-AT184*AT195)/AT$123,AT178,1),1-TDIST((AT184*AT195-AT$117)/AT$123,AT178,1))*100</f>
        <v>#VALUE!</v>
      </c>
      <c r="AU189" s="70" t="e">
        <f>IF(ISERROR(TDIST((AU184*AU195-AU$117)/AU$123,AU178,1)),TDIST((AU$117-AU184*AU195)/AU$123,AU178,1),1-TDIST((AU184*AU195-AU$117)/AU$123,AU178,1))*100</f>
        <v>#DIV/0!</v>
      </c>
    </row>
    <row r="190" spans="2:47" ht="27" customHeight="1">
      <c r="B190" s="382"/>
      <c r="C190" s="384"/>
      <c r="D190" s="21" t="str">
        <f>IF(D189&lt;0.5,"most unlikely",IF(D189&lt;5,"very unlikely",IF(D189&lt;25,"unlikely",IF(D189&lt;75,"possibly",IF(D189&lt;95,"likely",IF(D189&lt;99.5,"very likely","most likely"))))))</f>
        <v>possibly</v>
      </c>
      <c r="E190" s="21" t="e">
        <f>IF(E189&lt;0.5,"most unlikely",IF(E189&lt;5,"very unlikely",IF(E189&lt;25,"unlikely",IF(E189&lt;75,"possibly",IF(E189&lt;95,"likely",IF(E189&lt;99.5,"very likely","most likely"))))))</f>
        <v>#VALUE!</v>
      </c>
      <c r="F190" s="21" t="e">
        <f>IF(F189&lt;0.5,"most unlikely",IF(F189&lt;5,"very unlikely",IF(F189&lt;25,"unlikely",IF(F189&lt;75,"possibly",IF(F189&lt;95,"likely",IF(F189&lt;99.5,"very likely","most likely"))))))</f>
        <v>#VALUE!</v>
      </c>
      <c r="G190" s="55"/>
      <c r="H190" s="55"/>
      <c r="I190" s="382"/>
      <c r="J190" s="384"/>
      <c r="K190" s="21" t="e">
        <f>IF(K189&lt;0.5,"most unlikely",IF(K189&lt;5,"very unlikely",IF(K189&lt;25,"unlikely",IF(K189&lt;75,"possibly",IF(K189&lt;95,"likely",IF(K189&lt;99.5,"very likely","most likely"))))))</f>
        <v>#VALUE!</v>
      </c>
      <c r="L190" s="21" t="e">
        <f>IF(L189&lt;0.5,"most unlikely",IF(L189&lt;5,"very unlikely",IF(L189&lt;25,"unlikely",IF(L189&lt;75,"possibly",IF(L189&lt;95,"likely",IF(L189&lt;99.5,"very likely","most likely"))))))</f>
        <v>#VALUE!</v>
      </c>
      <c r="M190" s="21" t="e">
        <f>IF(M189&lt;0.5,"most unlikely",IF(M189&lt;5,"very unlikely",IF(M189&lt;25,"unlikely",IF(M189&lt;75,"possibly",IF(M189&lt;95,"likely",IF(M189&lt;99.5,"very likely","most likely"))))))</f>
        <v>#VALUE!</v>
      </c>
      <c r="N190" s="21" t="e">
        <f>IF(N189&lt;0.5,"most unlikely",IF(N189&lt;5,"very unlikely",IF(N189&lt;25,"unlikely",IF(N189&lt;75,"possibly",IF(N189&lt;95,"likely",IF(N189&lt;99.5,"very likely","most likely"))))))</f>
        <v>#VALUE!</v>
      </c>
      <c r="O190" s="21" t="e">
        <f>IF(O189&lt;0.5,"most unlikely",IF(O189&lt;5,"very unlikely",IF(O189&lt;25,"unlikely",IF(O189&lt;75,"possibly",IF(O189&lt;95,"likely",IF(O189&lt;99.5,"very likely","most likely"))))))</f>
        <v>#DIV/0!</v>
      </c>
      <c r="R190" s="382"/>
      <c r="S190" s="384"/>
      <c r="T190" s="134"/>
      <c r="U190" s="21" t="e">
        <f>IF(U189&lt;0.5,"most unlikely",IF(U189&lt;5,"very unlikely",IF(U189&lt;25,"unlikely",IF(U189&lt;75,"possibly",IF(U189&lt;95,"likely",IF(U189&lt;99.5,"very likely","most likely"))))))</f>
        <v>#VALUE!</v>
      </c>
      <c r="V190" s="21" t="e">
        <f>IF(V189&lt;0.5,"most unlikely",IF(V189&lt;5,"very unlikely",IF(V189&lt;25,"unlikely",IF(V189&lt;75,"possibly",IF(V189&lt;95,"likely",IF(V189&lt;99.5,"very likely","most likely"))))))</f>
        <v>#VALUE!</v>
      </c>
      <c r="Y190" s="382"/>
      <c r="Z190" s="384"/>
      <c r="AA190" s="21" t="e">
        <f>IF(AA189&lt;0.5,"most unlikely",IF(AA189&lt;5,"very unlikely",IF(AA189&lt;25,"unlikely",IF(AA189&lt;75,"possibly",IF(AA189&lt;95,"likely",IF(AA189&lt;99.5,"very likely","most likely"))))))</f>
        <v>#VALUE!</v>
      </c>
      <c r="AB190" s="21" t="e">
        <f>IF(AB189&lt;0.5,"most unlikely",IF(AB189&lt;5,"very unlikely",IF(AB189&lt;25,"unlikely",IF(AB189&lt;75,"possibly",IF(AB189&lt;95,"likely",IF(AB189&lt;99.5,"very likely","most likely"))))))</f>
        <v>#VALUE!</v>
      </c>
      <c r="AC190" s="21" t="e">
        <f>IF(AC189&lt;0.5,"most unlikely",IF(AC189&lt;5,"very unlikely",IF(AC189&lt;25,"unlikely",IF(AC189&lt;75,"possibly",IF(AC189&lt;95,"likely",IF(AC189&lt;99.5,"very likely","most likely"))))))</f>
        <v>#VALUE!</v>
      </c>
      <c r="AD190" s="21" t="e">
        <f>IF(AD189&lt;0.5,"most unlikely",IF(AD189&lt;5,"very unlikely",IF(AD189&lt;25,"unlikely",IF(AD189&lt;75,"possibly",IF(AD189&lt;95,"likely",IF(AD189&lt;99.5,"very likely","most likely"))))))</f>
        <v>#VALUE!</v>
      </c>
      <c r="AE190" s="21" t="e">
        <f>IF(AE189&lt;0.5,"most unlikely",IF(AE189&lt;5,"very unlikely",IF(AE189&lt;25,"unlikely",IF(AE189&lt;75,"possibly",IF(AE189&lt;95,"likely",IF(AE189&lt;99.5,"very likely","most likely"))))))</f>
        <v>#DIV/0!</v>
      </c>
      <c r="AH190" s="382"/>
      <c r="AI190" s="384"/>
      <c r="AJ190" s="134"/>
      <c r="AK190" s="21" t="e">
        <f>IF(AK189&lt;0.5,"most unlikely",IF(AK189&lt;5,"very unlikely",IF(AK189&lt;25,"unlikely",IF(AK189&lt;75,"possibly",IF(AK189&lt;95,"likely",IF(AK189&lt;99.5,"very likely","most likely"))))))</f>
        <v>#VALUE!</v>
      </c>
      <c r="AL190" s="21" t="e">
        <f>IF(AL189&lt;0.5,"most unlikely",IF(AL189&lt;5,"very unlikely",IF(AL189&lt;25,"unlikely",IF(AL189&lt;75,"possibly",IF(AL189&lt;95,"likely",IF(AL189&lt;99.5,"very likely","most likely"))))))</f>
        <v>#VALUE!</v>
      </c>
      <c r="AO190" s="382"/>
      <c r="AP190" s="384"/>
      <c r="AQ190" s="21" t="e">
        <f>IF(AQ189&lt;0.5,"most unlikely",IF(AQ189&lt;5,"very unlikely",IF(AQ189&lt;25,"unlikely",IF(AQ189&lt;75,"possibly",IF(AQ189&lt;95,"likely",IF(AQ189&lt;99.5,"very likely","most likely"))))))</f>
        <v>#VALUE!</v>
      </c>
      <c r="AR190" s="21" t="e">
        <f>IF(AR189&lt;0.5,"most unlikely",IF(AR189&lt;5,"very unlikely",IF(AR189&lt;25,"unlikely",IF(AR189&lt;75,"possibly",IF(AR189&lt;95,"likely",IF(AR189&lt;99.5,"very likely","most likely"))))))</f>
        <v>#VALUE!</v>
      </c>
      <c r="AS190" s="21" t="e">
        <f>IF(AS189&lt;0.5,"most unlikely",IF(AS189&lt;5,"very unlikely",IF(AS189&lt;25,"unlikely",IF(AS189&lt;75,"possibly",IF(AS189&lt;95,"likely",IF(AS189&lt;99.5,"very likely","most likely"))))))</f>
        <v>#VALUE!</v>
      </c>
      <c r="AT190" s="21" t="e">
        <f>IF(AT189&lt;0.5,"most unlikely",IF(AT189&lt;5,"very unlikely",IF(AT189&lt;25,"unlikely",IF(AT189&lt;75,"possibly",IF(AT189&lt;95,"likely",IF(AT189&lt;99.5,"very likely","most likely"))))))</f>
        <v>#VALUE!</v>
      </c>
      <c r="AU190" s="21" t="e">
        <f>IF(AU189&lt;0.5,"most unlikely",IF(AU189&lt;5,"very unlikely",IF(AU189&lt;25,"unlikely",IF(AU189&lt;75,"possibly",IF(AU189&lt;95,"likely",IF(AU189&lt;99.5,"very likely","most likely"))))))</f>
        <v>#DIV/0!</v>
      </c>
    </row>
    <row r="191" spans="2:47" ht="33.75" customHeight="1">
      <c r="B191" s="369" t="str">
        <f>"Mechanistic inference, based on threshold chances of "&amp;(100-$E$33)/2&amp;"% for substantial magnitudes"</f>
        <v>Mechanistic inference, based on threshold chances of 5% for substantial magnitudes</v>
      </c>
      <c r="C191" s="370"/>
      <c r="D191" s="302" t="str">
        <f>IF(MIN(D185,D189)&gt;(100-D177)/2,"unclear; get more data",IF(D185&gt;5,D186&amp;" +ive",IF(D189&gt;5,D190&amp;" –ive",D188&amp;" trivial")))</f>
        <v>unclear; get more data</v>
      </c>
      <c r="E191" s="302" t="e">
        <f>IF(MIN(E185,E189)&gt;(100-E177)/2,"unclear; get more data",IF(E185&gt;5,E186&amp;" +ive",IF(E189&gt;5,E190&amp;" –ive",E188&amp;" trivial")))</f>
        <v>#VALUE!</v>
      </c>
      <c r="F191" s="302" t="e">
        <f>IF(MIN(F185,F189)&gt;(100-F177)/2,"unclear; get more data",IF(F185&gt;5,F186&amp;" +ive",IF(F189&gt;5,F190&amp;" –ive",F188&amp;" trivial")))</f>
        <v>#VALUE!</v>
      </c>
      <c r="G191" s="24"/>
      <c r="H191" s="24"/>
      <c r="I191" s="369" t="str">
        <f>"Mechanistic inference, based on threshold chances of "&amp;(100-$E$33)/2&amp;"% for substantial magnitudes"</f>
        <v>Mechanistic inference, based on threshold chances of 5% for substantial magnitudes</v>
      </c>
      <c r="J191" s="370"/>
      <c r="K191" s="302" t="e">
        <f>IF(MIN(K185,K189)&gt;(100-K177)/2,"unclear; get more data",IF(K185&gt;5,K186&amp;" +ive",IF(K189&gt;5,K190&amp;" –ive",K188&amp;" trivial")))</f>
        <v>#VALUE!</v>
      </c>
      <c r="L191" s="302" t="e">
        <f>IF(MIN(L185,L189)&gt;(100-L177)/2,"unclear; get more data",IF(L185&gt;5,L186&amp;" +ive",IF(L189&gt;5,L190&amp;" –ive",L188&amp;" trivial")))</f>
        <v>#VALUE!</v>
      </c>
      <c r="M191" s="302" t="e">
        <f>IF(MIN(M185,M189)&gt;(100-M177)/2,"unclear; get more data",IF(M185&gt;5,M186&amp;" +ive",IF(M189&gt;5,M190&amp;" –ive",M188&amp;" trivial")))</f>
        <v>#VALUE!</v>
      </c>
      <c r="N191" s="302" t="e">
        <f>IF(MIN(N185,N189)&gt;(100-N177)/2,"unclear; get more data",IF(N185&gt;5,N186&amp;" +ive",IF(N189&gt;5,N190&amp;" –ive",N188&amp;" trivial")))</f>
        <v>#VALUE!</v>
      </c>
      <c r="O191" s="302" t="e">
        <f>IF(MIN(O185,O189)&gt;(100-O177)/2,"unclear; get more data",IF(O185&gt;5,O186&amp;" +ive",IF(O189&gt;5,O190&amp;" –ive",O188&amp;" trivial")))</f>
        <v>#DIV/0!</v>
      </c>
      <c r="R191" s="369" t="str">
        <f>"Mechanistic inference, based on threshold chances of "&amp;(100-$E$33)/2&amp;"% for substantial magnitudes"</f>
        <v>Mechanistic inference, based on threshold chances of 5% for substantial magnitudes</v>
      </c>
      <c r="S191" s="370"/>
      <c r="T191" s="277"/>
      <c r="U191" s="302" t="e">
        <f>IF(MIN(U185,U189)&gt;(100-U177)/2,"unclear; get more data",IF(U185&gt;5,U186&amp;" +ive",IF(U189&gt;5,U190&amp;" –ive",U188&amp;" trivial")))</f>
        <v>#VALUE!</v>
      </c>
      <c r="V191" s="302" t="e">
        <f>IF(MIN(V185,V189)&gt;(100-V177)/2,"unclear; get more data",IF(V185&gt;5,V186&amp;" +ive",IF(V189&gt;5,V190&amp;" –ive",V188&amp;" trivial")))</f>
        <v>#VALUE!</v>
      </c>
      <c r="W191" s="24"/>
      <c r="X191" s="24"/>
      <c r="Y191" s="369" t="str">
        <f>"Mechanistic inference, based on threshold chances of "&amp;(100-$E$33)/2&amp;"% for substantial magnitudes"</f>
        <v>Mechanistic inference, based on threshold chances of 5% for substantial magnitudes</v>
      </c>
      <c r="Z191" s="370"/>
      <c r="AA191" s="302" t="e">
        <f>IF(MIN(AA185,AA189)&gt;(100-AA177)/2,"unclear; get more data",IF(AA185&gt;5,AA186&amp;" +ive",IF(AA189&gt;5,AA190&amp;" –ive",AA188&amp;" trivial")))</f>
        <v>#VALUE!</v>
      </c>
      <c r="AB191" s="302" t="e">
        <f>IF(MIN(AB185,AB189)&gt;(100-AB177)/2,"unclear; get more data",IF(AB185&gt;5,AB186&amp;" +ive",IF(AB189&gt;5,AB190&amp;" –ive",AB188&amp;" trivial")))</f>
        <v>#VALUE!</v>
      </c>
      <c r="AC191" s="302" t="e">
        <f>IF(MIN(AC185,AC189)&gt;(100-AC177)/2,"unclear; get more data",IF(AC185&gt;5,AC186&amp;" +ive",IF(AC189&gt;5,AC190&amp;" –ive",AC188&amp;" trivial")))</f>
        <v>#VALUE!</v>
      </c>
      <c r="AD191" s="302" t="e">
        <f>IF(MIN(AD185,AD189)&gt;(100-AD177)/2,"unclear; get more data",IF(AD185&gt;5,AD186&amp;" +ive",IF(AD189&gt;5,AD190&amp;" –ive",AD188&amp;" trivial")))</f>
        <v>#VALUE!</v>
      </c>
      <c r="AE191" s="302" t="e">
        <f>IF(MIN(AE185,AE189)&gt;(100-AE177)/2,"unclear; get more data",IF(AE185&gt;5,AE186&amp;" +ive",IF(AE189&gt;5,AE190&amp;" –ive",AE188&amp;" trivial")))</f>
        <v>#DIV/0!</v>
      </c>
      <c r="AH191" s="369" t="str">
        <f>"Mechanistic inference, based on threshold chances of "&amp;(100-$E$33)/2&amp;"% for substantial magnitudes"</f>
        <v>Mechanistic inference, based on threshold chances of 5% for substantial magnitudes</v>
      </c>
      <c r="AI191" s="370"/>
      <c r="AJ191" s="277"/>
      <c r="AK191" s="302" t="e">
        <f>IF(MIN(AK185,AK189)&gt;(100-AK177)/2,"unclear; get more data",IF(AK185&gt;5,AK186&amp;" +ive",IF(AK189&gt;5,AK190&amp;" –ive",AK188&amp;" trivial")))</f>
        <v>#VALUE!</v>
      </c>
      <c r="AL191" s="302" t="e">
        <f>IF(MIN(AL185,AL189)&gt;(100-AL177)/2,"unclear; get more data",IF(AL185&gt;5,AL186&amp;" +ive",IF(AL189&gt;5,AL190&amp;" –ive",AL188&amp;" trivial")))</f>
        <v>#VALUE!</v>
      </c>
      <c r="AM191" s="24"/>
      <c r="AN191" s="24"/>
      <c r="AO191" s="369" t="str">
        <f>"Mechanistic inference, based on threshold chances of "&amp;(100-$E$33)/2&amp;"% for substantial magnitudes"</f>
        <v>Mechanistic inference, based on threshold chances of 5% for substantial magnitudes</v>
      </c>
      <c r="AP191" s="370"/>
      <c r="AQ191" s="302" t="e">
        <f>IF(MIN(AQ185,AQ189)&gt;(100-AQ177)/2,"unclear; get more data",IF(AQ185&gt;5,AQ186&amp;" +ive",IF(AQ189&gt;5,AQ190&amp;" –ive",AQ188&amp;" trivial")))</f>
        <v>#VALUE!</v>
      </c>
      <c r="AR191" s="302" t="e">
        <f>IF(MIN(AR185,AR189)&gt;(100-AR177)/2,"unclear; get more data",IF(AR185&gt;5,AR186&amp;" +ive",IF(AR189&gt;5,AR190&amp;" –ive",AR188&amp;" trivial")))</f>
        <v>#VALUE!</v>
      </c>
      <c r="AS191" s="302" t="e">
        <f>IF(MIN(AS185,AS189)&gt;(100-AS177)/2,"unclear; get more data",IF(AS185&gt;5,AS186&amp;" +ive",IF(AS189&gt;5,AS190&amp;" –ive",AS188&amp;" trivial")))</f>
        <v>#VALUE!</v>
      </c>
      <c r="AT191" s="302" t="e">
        <f>IF(MIN(AT185,AT189)&gt;(100-AT177)/2,"unclear; get more data",IF(AT185&gt;5,AT186&amp;" +ive",IF(AT189&gt;5,AT190&amp;" –ive",AT188&amp;" trivial")))</f>
        <v>#VALUE!</v>
      </c>
      <c r="AU191" s="302" t="e">
        <f>IF(MIN(AU185,AU189)&gt;(100-AU177)/2,"unclear; get more data",IF(AU185&gt;5,AU186&amp;" +ive",IF(AU189&gt;5,AU190&amp;" –ive",AU188&amp;" trivial")))</f>
        <v>#DIV/0!</v>
      </c>
    </row>
    <row r="192" spans="2:47" ht="33.75" customHeight="1">
      <c r="B192" s="369"/>
      <c r="C192" s="370"/>
      <c r="D192" s="302"/>
      <c r="E192" s="302"/>
      <c r="F192" s="302"/>
      <c r="G192" s="24"/>
      <c r="H192" s="24"/>
      <c r="I192" s="369" t="str">
        <f>"Clinical inference, based on threshold chances of harm and benefit of "&amp;$E$36&amp;"% and "&amp;$E$37&amp;"%"</f>
        <v>Clinical inference, based on threshold chances of harm and benefit of 0.5% and 25%</v>
      </c>
      <c r="J192" s="370"/>
      <c r="K192" s="302" t="e">
        <f>IF($C$30&gt;0,IF(K189&gt;$E$37,IF(K185&lt;$E$36,K190&amp;" beneficial","unclear; get more data"),IF(K185&gt;25,K186&amp;" harmful",K188&amp;" trivial")),IF(K185&gt;$E$37,IF(K189&lt;$E$36,K186&amp;" beneficial","unclear; get more data"),IF(K189&gt;25,K190&amp;" harmful",K188&amp;" trivial")))</f>
        <v>#VALUE!</v>
      </c>
      <c r="L192" s="302" t="e">
        <f>IF($C$30&gt;0,IF(L189&gt;$E$37,IF(L185&lt;$E$36,L190&amp;" beneficial","unclear; get more data"),IF(L185&gt;25,L186&amp;" harmful",L188&amp;" trivial")),IF(L185&gt;$E$37,IF(L189&lt;$E$36,L186&amp;" beneficial","unclear; get more data"),IF(L189&gt;25,L190&amp;" harmful",L188&amp;" trivial")))</f>
        <v>#VALUE!</v>
      </c>
      <c r="M192" s="302" t="e">
        <f>IF($C$30&gt;0,IF(M189&gt;$E$37,IF(M185&lt;$E$36,M190&amp;" beneficial","unclear; get more data"),IF(M185&gt;25,M186&amp;" harmful",M188&amp;" trivial")),IF(M185&gt;$E$37,IF(M189&lt;$E$36,M186&amp;" beneficial","unclear; get more data"),IF(M189&gt;25,M190&amp;" harmful",M188&amp;" trivial")))</f>
        <v>#VALUE!</v>
      </c>
      <c r="N192" s="302" t="e">
        <f>IF($C$30&gt;0,IF(N189&gt;$E$37,IF(N185&lt;$E$36,N190&amp;" beneficial","unclear; get more data"),IF(N185&gt;25,N186&amp;" harmful",N188&amp;" trivial")),IF(N185&gt;$E$37,IF(N189&lt;$E$36,N186&amp;" beneficial","unclear; get more data"),IF(N189&gt;25,N190&amp;" harmful",N188&amp;" trivial")))</f>
        <v>#VALUE!</v>
      </c>
      <c r="O192" s="302" t="e">
        <f>IF($C$30&gt;0,IF(O189&gt;$E$37,IF(O185&lt;$E$36,O190&amp;" beneficial","unclear; get more data"),IF(O185&gt;25,O186&amp;" harmful",O188&amp;" trivial")),IF(O185&gt;$E$37,IF(O189&lt;$E$36,O186&amp;" beneficial","unclear; get more data"),IF(O189&gt;25,O190&amp;" harmful",O188&amp;" trivial")))</f>
        <v>#DIV/0!</v>
      </c>
      <c r="R192" s="369"/>
      <c r="S192" s="370"/>
      <c r="T192" s="277"/>
      <c r="U192" s="302"/>
      <c r="V192" s="302"/>
      <c r="W192" s="24"/>
      <c r="X192" s="24"/>
      <c r="Y192" s="369" t="str">
        <f>"Clinical inference, based on threshold chances of harm and benefit of "&amp;$E$36&amp;"% and "&amp;$E$37&amp;"%"</f>
        <v>Clinical inference, based on threshold chances of harm and benefit of 0.5% and 25%</v>
      </c>
      <c r="Z192" s="370"/>
      <c r="AA192" s="302" t="e">
        <f>IF($C$30&gt;0,IF(AA189&gt;$E$37,IF(AA185&lt;$E$36,AA190&amp;" beneficial","unclear; get more data"),IF(AA185&gt;25,AA186&amp;" harmful",AA188&amp;" trivial")),IF(AA185&gt;$E$37,IF(AA189&lt;$E$36,AA186&amp;" beneficial","unclear; get more data"),IF(AA189&gt;25,AA190&amp;" harmful",AA188&amp;" trivial")))</f>
        <v>#VALUE!</v>
      </c>
      <c r="AB192" s="302" t="e">
        <f>IF($C$30&gt;0,IF(AB189&gt;$E$37,IF(AB185&lt;$E$36,AB190&amp;" beneficial","unclear; get more data"),IF(AB185&gt;25,AB186&amp;" harmful",AB188&amp;" trivial")),IF(AB185&gt;$E$37,IF(AB189&lt;$E$36,AB186&amp;" beneficial","unclear; get more data"),IF(AB189&gt;25,AB190&amp;" harmful",AB188&amp;" trivial")))</f>
        <v>#VALUE!</v>
      </c>
      <c r="AC192" s="302" t="e">
        <f>IF($C$30&gt;0,IF(AC189&gt;$E$37,IF(AC185&lt;$E$36,AC190&amp;" beneficial","unclear; get more data"),IF(AC185&gt;25,AC186&amp;" harmful",AC188&amp;" trivial")),IF(AC185&gt;$E$37,IF(AC189&lt;$E$36,AC186&amp;" beneficial","unclear; get more data"),IF(AC189&gt;25,AC190&amp;" harmful",AC188&amp;" trivial")))</f>
        <v>#VALUE!</v>
      </c>
      <c r="AD192" s="302" t="e">
        <f>IF($C$30&gt;0,IF(AD189&gt;$E$37,IF(AD185&lt;$E$36,AD190&amp;" beneficial","unclear; get more data"),IF(AD185&gt;25,AD186&amp;" harmful",AD188&amp;" trivial")),IF(AD185&gt;$E$37,IF(AD189&lt;$E$36,AD186&amp;" beneficial","unclear; get more data"),IF(AD189&gt;25,AD190&amp;" harmful",AD188&amp;" trivial")))</f>
        <v>#VALUE!</v>
      </c>
      <c r="AE192" s="302" t="e">
        <f>IF($C$30&gt;0,IF(AE189&gt;$E$37,IF(AE185&lt;$E$36,AE190&amp;" beneficial","unclear; get more data"),IF(AE185&gt;25,AE186&amp;" harmful",AE188&amp;" trivial")),IF(AE185&gt;$E$37,IF(AE189&lt;$E$36,AE186&amp;" beneficial","unclear; get more data"),IF(AE189&gt;25,AE190&amp;" harmful",AE188&amp;" trivial")))</f>
        <v>#DIV/0!</v>
      </c>
      <c r="AH192" s="369"/>
      <c r="AI192" s="370"/>
      <c r="AJ192" s="277"/>
      <c r="AK192" s="302"/>
      <c r="AL192" s="302"/>
      <c r="AM192" s="24"/>
      <c r="AN192" s="24"/>
      <c r="AO192" s="369" t="str">
        <f>"Clinical inference, based on threshold chances of harm and benefit of "&amp;$E$36&amp;"% and "&amp;$E$37&amp;"%"</f>
        <v>Clinical inference, based on threshold chances of harm and benefit of 0.5% and 25%</v>
      </c>
      <c r="AP192" s="370"/>
      <c r="AQ192" s="302" t="e">
        <f>IF($C$30&gt;0,IF(AQ189&gt;$E$37,IF(AQ185&lt;$E$36,AQ190&amp;" beneficial","unclear; get more data"),IF(AQ185&gt;25,AQ186&amp;" harmful",AQ188&amp;" trivial")),IF(AQ185&gt;$E$37,IF(AQ189&lt;$E$36,AQ186&amp;" beneficial","unclear; get more data"),IF(AQ189&gt;25,AQ190&amp;" harmful",AQ188&amp;" trivial")))</f>
        <v>#VALUE!</v>
      </c>
      <c r="AR192" s="302" t="e">
        <f>IF($C$30&gt;0,IF(AR189&gt;$E$37,IF(AR185&lt;$E$36,AR190&amp;" beneficial","unclear; get more data"),IF(AR185&gt;25,AR186&amp;" harmful",AR188&amp;" trivial")),IF(AR185&gt;$E$37,IF(AR189&lt;$E$36,AR186&amp;" beneficial","unclear; get more data"),IF(AR189&gt;25,AR190&amp;" harmful",AR188&amp;" trivial")))</f>
        <v>#VALUE!</v>
      </c>
      <c r="AS192" s="302" t="e">
        <f>IF($C$30&gt;0,IF(AS189&gt;$E$37,IF(AS185&lt;$E$36,AS190&amp;" beneficial","unclear; get more data"),IF(AS185&gt;25,AS186&amp;" harmful",AS188&amp;" trivial")),IF(AS185&gt;$E$37,IF(AS189&lt;$E$36,AS186&amp;" beneficial","unclear; get more data"),IF(AS189&gt;25,AS190&amp;" harmful",AS188&amp;" trivial")))</f>
        <v>#VALUE!</v>
      </c>
      <c r="AT192" s="302" t="e">
        <f>IF($C$30&gt;0,IF(AT189&gt;$E$37,IF(AT185&lt;$E$36,AT190&amp;" beneficial","unclear; get more data"),IF(AT185&gt;25,AT186&amp;" harmful",AT188&amp;" trivial")),IF(AT185&gt;$E$37,IF(AT189&lt;$E$36,AT186&amp;" beneficial","unclear; get more data"),IF(AT189&gt;25,AT190&amp;" harmful",AT188&amp;" trivial")))</f>
        <v>#VALUE!</v>
      </c>
      <c r="AU192" s="302" t="e">
        <f>IF($C$30&gt;0,IF(AU189&gt;$E$37,IF(AU185&lt;$E$36,AU190&amp;" beneficial","unclear; get more data"),IF(AU185&gt;25,AU186&amp;" harmful",AU188&amp;" trivial")),IF(AU185&gt;$E$37,IF(AU189&lt;$E$36,AU186&amp;" beneficial","unclear; get more data"),IF(AU189&gt;25,AU190&amp;" harmful",AU188&amp;" trivial")))</f>
        <v>#DIV/0!</v>
      </c>
    </row>
    <row r="193" spans="2:47" ht="12" customHeight="1">
      <c r="B193" s="369"/>
      <c r="C193" s="370"/>
      <c r="D193" s="319"/>
      <c r="E193" s="319"/>
      <c r="F193" s="319"/>
      <c r="G193" s="24"/>
      <c r="H193" s="24"/>
      <c r="I193" s="369" t="s">
        <v>200</v>
      </c>
      <c r="J193" s="370"/>
      <c r="K193" s="319" t="e">
        <f>IF($C$30&gt;0,K189/(100-K189)/(K185/(100-K185)),K185/(100-K185)/(K189/(100-K189)))</f>
        <v>#VALUE!</v>
      </c>
      <c r="L193" s="319" t="e">
        <f>IF($C$30&gt;0,L189/(100-L189)/(L185/(100-L185)),L185/(100-L185)/(L189/(100-L189)))</f>
        <v>#VALUE!</v>
      </c>
      <c r="M193" s="319" t="e">
        <f>IF($C$30&gt;0,M189/(100-M189)/(M185/(100-M185)),M185/(100-M185)/(M189/(100-M189)))</f>
        <v>#VALUE!</v>
      </c>
      <c r="N193" s="319" t="e">
        <f>IF($C$30&gt;0,N189/(100-N189)/(N185/(100-N185)),N185/(100-N185)/(N189/(100-N189)))</f>
        <v>#VALUE!</v>
      </c>
      <c r="O193" s="319" t="e">
        <f>IF($C$30&gt;0,O189/(100-O189)/(O185/(100-O185)),O185/(100-O185)/(O189/(100-O189)))</f>
        <v>#DIV/0!</v>
      </c>
      <c r="R193" s="369"/>
      <c r="S193" s="370"/>
      <c r="T193" s="277"/>
      <c r="U193" s="319"/>
      <c r="V193" s="319"/>
      <c r="W193" s="24"/>
      <c r="X193" s="24"/>
      <c r="Y193" s="369" t="s">
        <v>200</v>
      </c>
      <c r="Z193" s="370"/>
      <c r="AA193" s="319" t="e">
        <f>IF($C$30&gt;0,AA189/(100-AA189)/(AA185/(100-AA185)),AA185/(100-AA185)/(AA189/(100-AA189)))</f>
        <v>#VALUE!</v>
      </c>
      <c r="AB193" s="319" t="e">
        <f>IF($C$30&gt;0,AB189/(100-AB189)/(AB185/(100-AB185)),AB185/(100-AB185)/(AB189/(100-AB189)))</f>
        <v>#VALUE!</v>
      </c>
      <c r="AC193" s="319" t="e">
        <f>IF($C$30&gt;0,AC189/(100-AC189)/(AC185/(100-AC185)),AC185/(100-AC185)/(AC189/(100-AC189)))</f>
        <v>#VALUE!</v>
      </c>
      <c r="AD193" s="319" t="e">
        <f>IF($C$30&gt;0,AD189/(100-AD189)/(AD185/(100-AD185)),AD185/(100-AD185)/(AD189/(100-AD189)))</f>
        <v>#VALUE!</v>
      </c>
      <c r="AE193" s="319" t="e">
        <f>IF($C$30&gt;0,AE189/(100-AE189)/(AE185/(100-AE185)),AE185/(100-AE185)/(AE189/(100-AE189)))</f>
        <v>#DIV/0!</v>
      </c>
      <c r="AH193" s="369"/>
      <c r="AI193" s="370"/>
      <c r="AJ193" s="277"/>
      <c r="AK193" s="319"/>
      <c r="AL193" s="319"/>
      <c r="AM193" s="24"/>
      <c r="AN193" s="24"/>
      <c r="AO193" s="369" t="s">
        <v>200</v>
      </c>
      <c r="AP193" s="370"/>
      <c r="AQ193" s="319" t="e">
        <f>IF($C$30&gt;0,AQ189/(100-AQ189)/(AQ185/(100-AQ185)),AQ185/(100-AQ185)/(AQ189/(100-AQ189)))</f>
        <v>#VALUE!</v>
      </c>
      <c r="AR193" s="319" t="e">
        <f>IF($C$30&gt;0,AR189/(100-AR189)/(AR185/(100-AR185)),AR185/(100-AR185)/(AR189/(100-AR189)))</f>
        <v>#VALUE!</v>
      </c>
      <c r="AS193" s="319" t="e">
        <f>IF($C$30&gt;0,AS189/(100-AS189)/(AS185/(100-AS185)),AS185/(100-AS185)/(AS189/(100-AS189)))</f>
        <v>#VALUE!</v>
      </c>
      <c r="AT193" s="319" t="e">
        <f>IF($C$30&gt;0,AT189/(100-AT189)/(AT185/(100-AT185)),AT185/(100-AT185)/(AT189/(100-AT189)))</f>
        <v>#VALUE!</v>
      </c>
      <c r="AU193" s="319" t="e">
        <f>IF($C$30&gt;0,AU189/(100-AU189)/(AU185/(100-AU185)),AU185/(100-AU185)/(AU189/(100-AU189)))</f>
        <v>#DIV/0!</v>
      </c>
    </row>
    <row r="194" spans="2:47" ht="33.75" customHeight="1">
      <c r="B194" s="369"/>
      <c r="C194" s="370"/>
      <c r="D194" s="277"/>
      <c r="E194" s="277"/>
      <c r="F194" s="277"/>
      <c r="G194" s="24"/>
      <c r="H194" s="24"/>
      <c r="I194" s="369" t="str">
        <f>"Clinical inference as above, but declaring beneficial when odds ratio of benefit/harm is &gt;"&amp;$E$38</f>
        <v>Clinical inference as above, but declaring beneficial when odds ratio of benefit/harm is &gt;66</v>
      </c>
      <c r="J194" s="370"/>
      <c r="K194" s="277" t="e">
        <f>IF(K193&gt;$E$38,IF($C$30&gt;0,K190,K186)&amp;" beneficial",IF($C$30&gt;0,IF(K189&gt;$E$37,IF(K185&lt;$E$36,K190&amp;" beneficial","unclear; get more data"),IF(K185&gt;25,K186&amp;" harmful",K188&amp;" trivial")),IF(K185&gt;$E$37,IF(K189&lt;$E$36,K186&amp;" beneficial","unclear; get more data"),IF(K189&gt;25,K190&amp;" harmful",K188&amp;" trivial"))))</f>
        <v>#VALUE!</v>
      </c>
      <c r="L194" s="277" t="e">
        <f>IF(L193&gt;$E$38,IF($C$30&gt;0,L190,L186)&amp;" beneficial",IF($C$30&gt;0,IF(L189&gt;$E$37,IF(L185&lt;$E$36,L190&amp;" beneficial","unclear; get more data"),IF(L185&gt;25,L186&amp;" harmful",L188&amp;" trivial")),IF(L185&gt;$E$37,IF(L189&lt;$E$36,L186&amp;" beneficial","unclear; get more data"),IF(L189&gt;25,L190&amp;" harmful",L188&amp;" trivial"))))</f>
        <v>#VALUE!</v>
      </c>
      <c r="M194" s="277" t="e">
        <f>IF(M193&gt;$E$38,IF($C$30&gt;0,M190,M186)&amp;" beneficial",IF($C$30&gt;0,IF(M189&gt;$E$37,IF(M185&lt;$E$36,M190&amp;" beneficial","unclear; get more data"),IF(M185&gt;25,M186&amp;" harmful",M188&amp;" trivial")),IF(M185&gt;$E$37,IF(M189&lt;$E$36,M186&amp;" beneficial","unclear; get more data"),IF(M189&gt;25,M190&amp;" harmful",M188&amp;" trivial"))))</f>
        <v>#VALUE!</v>
      </c>
      <c r="N194" s="277" t="e">
        <f>IF(N193&gt;$E$38,IF($C$30&gt;0,N190,N186)&amp;" beneficial",IF($C$30&gt;0,IF(N189&gt;$E$37,IF(N185&lt;$E$36,N190&amp;" beneficial","unclear; get more data"),IF(N185&gt;25,N186&amp;" harmful",N188&amp;" trivial")),IF(N185&gt;$E$37,IF(N189&lt;$E$36,N186&amp;" beneficial","unclear; get more data"),IF(N189&gt;25,N190&amp;" harmful",N188&amp;" trivial"))))</f>
        <v>#VALUE!</v>
      </c>
      <c r="O194" s="277" t="e">
        <f>IF(O193&gt;$E$38,IF($C$30&gt;0,O190,O186)&amp;" beneficial",IF($C$30&gt;0,IF(O189&gt;$E$37,IF(O185&lt;$E$36,O190&amp;" beneficial","unclear; get more data"),IF(O185&gt;25,O186&amp;" harmful",O188&amp;" trivial")),IF(O185&gt;$E$37,IF(O189&lt;$E$36,O186&amp;" beneficial","unclear; get more data"),IF(O189&gt;25,O190&amp;" harmful",O188&amp;" trivial"))))</f>
        <v>#DIV/0!</v>
      </c>
      <c r="R194" s="369"/>
      <c r="S194" s="370"/>
      <c r="T194" s="277"/>
      <c r="U194" s="277"/>
      <c r="V194" s="277"/>
      <c r="W194" s="24"/>
      <c r="X194" s="24"/>
      <c r="Y194" s="369" t="str">
        <f>"Clinical inference as above, but declaring beneficial when odds ratio of benefit/harm is &gt;"&amp;$E$38</f>
        <v>Clinical inference as above, but declaring beneficial when odds ratio of benefit/harm is &gt;66</v>
      </c>
      <c r="Z194" s="370"/>
      <c r="AA194" s="277" t="e">
        <f>IF(AA193&gt;$E$38,IF($C$30&gt;0,AA190,AA186)&amp;" beneficial",IF($C$30&gt;0,IF(AA189&gt;$E$37,IF(AA185&lt;$E$36,AA190&amp;" beneficial","unclear; get more data"),IF(AA185&gt;25,AA186&amp;" harmful",AA188&amp;" trivial")),IF(AA185&gt;$E$37,IF(AA189&lt;$E$36,AA186&amp;" beneficial","unclear; get more data"),IF(AA189&gt;25,AA190&amp;" harmful",AA188&amp;" trivial"))))</f>
        <v>#VALUE!</v>
      </c>
      <c r="AB194" s="277" t="e">
        <f>IF(AB193&gt;$E$38,IF($C$30&gt;0,AB190,AB186)&amp;" beneficial",IF($C$30&gt;0,IF(AB189&gt;$E$37,IF(AB185&lt;$E$36,AB190&amp;" beneficial","unclear; get more data"),IF(AB185&gt;25,AB186&amp;" harmful",AB188&amp;" trivial")),IF(AB185&gt;$E$37,IF(AB189&lt;$E$36,AB186&amp;" beneficial","unclear; get more data"),IF(AB189&gt;25,AB190&amp;" harmful",AB188&amp;" trivial"))))</f>
        <v>#VALUE!</v>
      </c>
      <c r="AC194" s="277" t="e">
        <f>IF(AC193&gt;$E$38,IF($C$30&gt;0,AC190,AC186)&amp;" beneficial",IF($C$30&gt;0,IF(AC189&gt;$E$37,IF(AC185&lt;$E$36,AC190&amp;" beneficial","unclear; get more data"),IF(AC185&gt;25,AC186&amp;" harmful",AC188&amp;" trivial")),IF(AC185&gt;$E$37,IF(AC189&lt;$E$36,AC186&amp;" beneficial","unclear; get more data"),IF(AC189&gt;25,AC190&amp;" harmful",AC188&amp;" trivial"))))</f>
        <v>#VALUE!</v>
      </c>
      <c r="AD194" s="277" t="e">
        <f>IF(AD193&gt;$E$38,IF($C$30&gt;0,AD190,AD186)&amp;" beneficial",IF($C$30&gt;0,IF(AD189&gt;$E$37,IF(AD185&lt;$E$36,AD190&amp;" beneficial","unclear; get more data"),IF(AD185&gt;25,AD186&amp;" harmful",AD188&amp;" trivial")),IF(AD185&gt;$E$37,IF(AD189&lt;$E$36,AD186&amp;" beneficial","unclear; get more data"),IF(AD189&gt;25,AD190&amp;" harmful",AD188&amp;" trivial"))))</f>
        <v>#VALUE!</v>
      </c>
      <c r="AE194" s="277" t="e">
        <f>IF(AE193&gt;$E$38,IF($C$30&gt;0,AE190,AE186)&amp;" beneficial",IF($C$30&gt;0,IF(AE189&gt;$E$37,IF(AE185&lt;$E$36,AE190&amp;" beneficial","unclear; get more data"),IF(AE185&gt;25,AE186&amp;" harmful",AE188&amp;" trivial")),IF(AE185&gt;$E$37,IF(AE189&lt;$E$36,AE186&amp;" beneficial","unclear; get more data"),IF(AE189&gt;25,AE190&amp;" harmful",AE188&amp;" trivial"))))</f>
        <v>#DIV/0!</v>
      </c>
      <c r="AH194" s="369"/>
      <c r="AI194" s="370"/>
      <c r="AJ194" s="277"/>
      <c r="AK194" s="277"/>
      <c r="AL194" s="277"/>
      <c r="AM194" s="24"/>
      <c r="AN194" s="24"/>
      <c r="AO194" s="369" t="str">
        <f>"Clinical inference as above, but declaring beneficial when odds ratio of benefit/harm is &gt;"&amp;$E$38</f>
        <v>Clinical inference as above, but declaring beneficial when odds ratio of benefit/harm is &gt;66</v>
      </c>
      <c r="AP194" s="370"/>
      <c r="AQ194" s="277" t="e">
        <f>IF(AQ193&gt;$E$38,IF($C$30&gt;0,AQ190,AQ186)&amp;" beneficial",IF($C$30&gt;0,IF(AQ189&gt;$E$37,IF(AQ185&lt;$E$36,AQ190&amp;" beneficial","unclear; get more data"),IF(AQ185&gt;25,AQ186&amp;" harmful",AQ188&amp;" trivial")),IF(AQ185&gt;$E$37,IF(AQ189&lt;$E$36,AQ186&amp;" beneficial","unclear; get more data"),IF(AQ189&gt;25,AQ190&amp;" harmful",AQ188&amp;" trivial"))))</f>
        <v>#VALUE!</v>
      </c>
      <c r="AR194" s="277" t="e">
        <f>IF(AR193&gt;$E$38,IF($C$30&gt;0,AR190,AR186)&amp;" beneficial",IF($C$30&gt;0,IF(AR189&gt;$E$37,IF(AR185&lt;$E$36,AR190&amp;" beneficial","unclear; get more data"),IF(AR185&gt;25,AR186&amp;" harmful",AR188&amp;" trivial")),IF(AR185&gt;$E$37,IF(AR189&lt;$E$36,AR186&amp;" beneficial","unclear; get more data"),IF(AR189&gt;25,AR190&amp;" harmful",AR188&amp;" trivial"))))</f>
        <v>#VALUE!</v>
      </c>
      <c r="AS194" s="277" t="e">
        <f>IF(AS193&gt;$E$38,IF($C$30&gt;0,AS190,AS186)&amp;" beneficial",IF($C$30&gt;0,IF(AS189&gt;$E$37,IF(AS185&lt;$E$36,AS190&amp;" beneficial","unclear; get more data"),IF(AS185&gt;25,AS186&amp;" harmful",AS188&amp;" trivial")),IF(AS185&gt;$E$37,IF(AS189&lt;$E$36,AS186&amp;" beneficial","unclear; get more data"),IF(AS189&gt;25,AS190&amp;" harmful",AS188&amp;" trivial"))))</f>
        <v>#VALUE!</v>
      </c>
      <c r="AT194" s="277" t="e">
        <f>IF(AT193&gt;$E$38,IF($C$30&gt;0,AT190,AT186)&amp;" beneficial",IF($C$30&gt;0,IF(AT189&gt;$E$37,IF(AT185&lt;$E$36,AT190&amp;" beneficial","unclear; get more data"),IF(AT185&gt;25,AT186&amp;" harmful",AT188&amp;" trivial")),IF(AT185&gt;$E$37,IF(AT189&lt;$E$36,AT186&amp;" beneficial","unclear; get more data"),IF(AT189&gt;25,AT190&amp;" harmful",AT188&amp;" trivial"))))</f>
        <v>#VALUE!</v>
      </c>
      <c r="AU194" s="277" t="e">
        <f>IF(AU193&gt;$E$38,IF($C$30&gt;0,AU190,AU186)&amp;" beneficial",IF($C$30&gt;0,IF(AU189&gt;$E$37,IF(AU185&lt;$E$36,AU190&amp;" beneficial","unclear; get more data"),IF(AU185&gt;25,AU186&amp;" harmful",AU188&amp;" trivial")),IF(AU185&gt;$E$37,IF(AU189&lt;$E$36,AU186&amp;" beneficial","unclear; get more data"),IF(AU189&gt;25,AU190&amp;" harmful",AU188&amp;" trivial"))))</f>
        <v>#DIV/0!</v>
      </c>
    </row>
    <row r="195" spans="2:47" ht="12" customHeight="1">
      <c r="B195" s="92"/>
      <c r="C195" s="264" t="s">
        <v>128</v>
      </c>
      <c r="D195" s="265">
        <f>SQRT((D63^2+D94^2)/2)/(1-3/(4*D122-1))</f>
        <v>3.4098531503259344</v>
      </c>
      <c r="E195" s="266">
        <f>SQRT((E63^2+E94^2)/2)/(1-3/(4*E122-1))</f>
        <v>21.75854025279307</v>
      </c>
      <c r="F195" s="266">
        <f>SQRT((F63^2+F94^2)/2)/(1-3/(4*F122-1))</f>
        <v>22.2225189100504</v>
      </c>
      <c r="I195" s="49"/>
      <c r="J195" s="48" t="s">
        <v>27</v>
      </c>
      <c r="K195" s="50">
        <f>E115</f>
        <v>22.50822027445537</v>
      </c>
      <c r="L195" s="50">
        <f>$K$195</f>
        <v>22.50822027445537</v>
      </c>
      <c r="M195" s="50">
        <f>$K$195</f>
        <v>22.50822027445537</v>
      </c>
      <c r="N195" s="50">
        <f>$K$195</f>
        <v>22.50822027445537</v>
      </c>
      <c r="O195" s="50">
        <f>$K$195</f>
        <v>22.50822027445537</v>
      </c>
      <c r="R195" s="92"/>
      <c r="S195" s="264" t="s">
        <v>128</v>
      </c>
      <c r="T195" s="265"/>
      <c r="U195" s="266">
        <f>SQRT((U63^2+U94^2)/2)/(1-3/(4*U122-1))</f>
        <v>5.548878123604106</v>
      </c>
      <c r="V195" s="266">
        <f>SQRT((V63^2+V94^2)/2)/(1-3/(4*V122-1))</f>
        <v>5.624012975365521</v>
      </c>
      <c r="Y195" s="49"/>
      <c r="Z195" s="48" t="s">
        <v>27</v>
      </c>
      <c r="AA195" s="50">
        <f>U115</f>
        <v>5.7144101996314856</v>
      </c>
      <c r="AB195" s="50">
        <f>$AA$195</f>
        <v>5.7144101996314856</v>
      </c>
      <c r="AC195" s="50">
        <f>$AA$195</f>
        <v>5.7144101996314856</v>
      </c>
      <c r="AD195" s="50">
        <f>$AA$195</f>
        <v>5.7144101996314856</v>
      </c>
      <c r="AE195" s="50">
        <f>$AA$195</f>
        <v>5.7144101996314856</v>
      </c>
      <c r="AH195" s="92"/>
      <c r="AI195" s="264" t="s">
        <v>128</v>
      </c>
      <c r="AJ195" s="265"/>
      <c r="AK195" s="266">
        <f>SQRT((AK63^2+AK94^2)/2)/(1-3/(4*AK122-1))</f>
        <v>27.408093534578548</v>
      </c>
      <c r="AL195" s="266">
        <f>SQRT((AL63^2+AL94^2)/2)/(1-3/(4*AL122-1))</f>
        <v>27.805347961144495</v>
      </c>
      <c r="AO195" s="49"/>
      <c r="AP195" s="48" t="s">
        <v>27</v>
      </c>
      <c r="AQ195" s="50">
        <f>AK115</f>
        <v>28.19822805838559</v>
      </c>
      <c r="AR195" s="50">
        <f>$AQ$195</f>
        <v>28.19822805838559</v>
      </c>
      <c r="AS195" s="50">
        <f>$AQ$195</f>
        <v>28.19822805838559</v>
      </c>
      <c r="AT195" s="50">
        <f>$AQ$195</f>
        <v>28.19822805838559</v>
      </c>
      <c r="AU195" s="50">
        <f>$AQ$195</f>
        <v>28.19822805838559</v>
      </c>
    </row>
    <row r="196" spans="2:47" ht="12.75" customHeight="1">
      <c r="B196" s="385" t="s">
        <v>173</v>
      </c>
      <c r="C196" s="386"/>
      <c r="D196" s="56">
        <f>D146/D195</f>
        <v>-0.621142332577396</v>
      </c>
      <c r="E196" s="56">
        <f>E146/E195</f>
        <v>-0.3274108373228793</v>
      </c>
      <c r="F196" s="56">
        <f>F146/F195</f>
        <v>0.34439140245939104</v>
      </c>
      <c r="I196" s="385" t="s">
        <v>174</v>
      </c>
      <c r="J196" s="386"/>
      <c r="K196" s="56">
        <f>K146/K195</f>
        <v>0.2998578394568604</v>
      </c>
      <c r="L196" s="56">
        <f>L146/L195</f>
        <v>0.4454531575676951</v>
      </c>
      <c r="M196" s="56">
        <f>M146/M195</f>
        <v>0.6886760381108241</v>
      </c>
      <c r="N196" s="56">
        <f>N146/N195</f>
        <v>0.48064109021426993</v>
      </c>
      <c r="O196" s="56" t="e">
        <f>O146/O195</f>
        <v>#DIV/0!</v>
      </c>
      <c r="R196" s="385" t="s">
        <v>173</v>
      </c>
      <c r="S196" s="386"/>
      <c r="T196" s="37"/>
      <c r="U196" s="56">
        <f>U258/U195</f>
        <v>-0.06842802490477361</v>
      </c>
      <c r="V196" s="56">
        <f>V258/V195</f>
        <v>0.44328128090363916</v>
      </c>
      <c r="Y196" s="385" t="s">
        <v>174</v>
      </c>
      <c r="Z196" s="386"/>
      <c r="AA196" s="56">
        <f>AA258/AA195</f>
        <v>0.32284568706265276</v>
      </c>
      <c r="AB196" s="56">
        <f>AB258/AB195</f>
        <v>0.4059900788705422</v>
      </c>
      <c r="AC196" s="56">
        <f>AC258/AC195</f>
        <v>0.6870474796621956</v>
      </c>
      <c r="AD196" s="56">
        <f>AD258/AD195</f>
        <v>0.47461863493690826</v>
      </c>
      <c r="AE196" s="56" t="e">
        <f>AE258/AE195</f>
        <v>#DIV/0!</v>
      </c>
      <c r="AH196" s="385" t="s">
        <v>173</v>
      </c>
      <c r="AI196" s="386"/>
      <c r="AJ196" s="37"/>
      <c r="AK196" s="56">
        <f>AK258/AK195</f>
        <v>-0.6627486705564222</v>
      </c>
      <c r="AL196" s="56">
        <f>AL258/AL195</f>
        <v>-0.3767868511386028</v>
      </c>
      <c r="AO196" s="385" t="s">
        <v>174</v>
      </c>
      <c r="AP196" s="386"/>
      <c r="AQ196" s="56">
        <f>AQ258/AQ195</f>
        <v>0.2533857578044196</v>
      </c>
      <c r="AR196" s="56">
        <f>AR258/AR195</f>
        <v>0.47232881645385444</v>
      </c>
      <c r="AS196" s="56">
        <f>AS258/AS195</f>
        <v>0.6960145033033988</v>
      </c>
      <c r="AT196" s="56">
        <f>AT258/AT195</f>
        <v>0.45747780601078075</v>
      </c>
      <c r="AU196" s="56" t="e">
        <f>AU258/AU195</f>
        <v>#DIV/0!</v>
      </c>
    </row>
    <row r="197" spans="2:47" ht="12.75" customHeight="1">
      <c r="B197" s="377" t="s">
        <v>143</v>
      </c>
      <c r="C197" s="23" t="s">
        <v>9</v>
      </c>
      <c r="D197" s="57">
        <f>D147/D195</f>
        <v>-1.0602536729577978</v>
      </c>
      <c r="E197" s="57">
        <f>E147/E195</f>
        <v>-0.9128271885828086</v>
      </c>
      <c r="F197" s="57">
        <f>F147/F195</f>
        <v>-0.7795396816190135</v>
      </c>
      <c r="I197" s="377" t="s">
        <v>143</v>
      </c>
      <c r="J197" s="23" t="s">
        <v>9</v>
      </c>
      <c r="K197" s="57">
        <f>K147/K195</f>
        <v>-0.41255156356353007</v>
      </c>
      <c r="L197" s="57">
        <f>L147/L195</f>
        <v>-0.2845548362221566</v>
      </c>
      <c r="M197" s="57">
        <f>M147/M195</f>
        <v>0.3422138431025831</v>
      </c>
      <c r="N197" s="57">
        <f>N147/N195</f>
        <v>-0.36593003759249515</v>
      </c>
      <c r="O197" s="57" t="e">
        <f>O147/O195</f>
        <v>#DIV/0!</v>
      </c>
      <c r="R197" s="377" t="s">
        <v>143</v>
      </c>
      <c r="S197" s="23" t="s">
        <v>9</v>
      </c>
      <c r="T197" s="23"/>
      <c r="U197" s="57">
        <f>U259/U195</f>
        <v>-0.854227354980396</v>
      </c>
      <c r="V197" s="57">
        <f>V259/V195</f>
        <v>-0.7293801920877198</v>
      </c>
      <c r="Y197" s="377" t="s">
        <v>143</v>
      </c>
      <c r="Z197" s="23" t="s">
        <v>9</v>
      </c>
      <c r="AA197" s="57">
        <f>AA259/AA195</f>
        <v>-0.3853023554791701</v>
      </c>
      <c r="AB197" s="57">
        <f>AB259/AB195</f>
        <v>-0.3073524456340478</v>
      </c>
      <c r="AC197" s="57">
        <f>AC259/AC195</f>
        <v>0.3551439446248848</v>
      </c>
      <c r="AD197" s="57">
        <f>AD259/AD195</f>
        <v>-0.34396376224440195</v>
      </c>
      <c r="AE197" s="57" t="e">
        <f>AE259/AE195</f>
        <v>#DIV/0!</v>
      </c>
      <c r="AH197" s="377" t="s">
        <v>143</v>
      </c>
      <c r="AI197" s="23" t="s">
        <v>9</v>
      </c>
      <c r="AJ197" s="23"/>
      <c r="AK197" s="57">
        <f>AK259/AK195</f>
        <v>-1.0869438440656018</v>
      </c>
      <c r="AL197" s="57">
        <f>AL259/AL195</f>
        <v>-0.9320964170033887</v>
      </c>
      <c r="AO197" s="377" t="s">
        <v>143</v>
      </c>
      <c r="AP197" s="23" t="s">
        <v>9</v>
      </c>
      <c r="AQ197" s="57">
        <f>AQ259/AQ195</f>
        <v>-0.5317910784098641</v>
      </c>
      <c r="AR197" s="57">
        <f>AR259/AR195</f>
        <v>-0.32674184649326704</v>
      </c>
      <c r="AS197" s="57">
        <f>AS259/AS195</f>
        <v>0.34286518553766626</v>
      </c>
      <c r="AT197" s="57">
        <f>AT259/AT195</f>
        <v>-0.44314214093834453</v>
      </c>
      <c r="AU197" s="57" t="e">
        <f>AU259/AU195</f>
        <v>#DIV/0!</v>
      </c>
    </row>
    <row r="198" spans="2:47" ht="12.75">
      <c r="B198" s="378"/>
      <c r="C198" s="12" t="s">
        <v>10</v>
      </c>
      <c r="D198" s="58">
        <f>D148/D195</f>
        <v>0.5937190045645528</v>
      </c>
      <c r="E198" s="58">
        <f>E148/E195</f>
        <v>0.7866751320736255</v>
      </c>
      <c r="F198" s="58">
        <f>F148/F195</f>
        <v>0.9191806086915484</v>
      </c>
      <c r="I198" s="378"/>
      <c r="J198" s="12" t="s">
        <v>10</v>
      </c>
      <c r="K198" s="58">
        <f>K148/K195</f>
        <v>0.5916318452941708</v>
      </c>
      <c r="L198" s="58">
        <f>L148/L195</f>
        <v>0.6912513913125078</v>
      </c>
      <c r="M198" s="58">
        <f>M148/M195</f>
        <v>0.9118328007507753</v>
      </c>
      <c r="N198" s="58">
        <f>N148/N195</f>
        <v>0.7719692400718883</v>
      </c>
      <c r="O198" s="58" t="e">
        <f>O148/O195</f>
        <v>#DIV/0!</v>
      </c>
      <c r="R198" s="378"/>
      <c r="S198" s="12" t="s">
        <v>10</v>
      </c>
      <c r="T198" s="12"/>
      <c r="U198" s="58">
        <f>U260/U195</f>
        <v>0.8487282161045823</v>
      </c>
      <c r="V198" s="58">
        <f>V260/V195</f>
        <v>0.9617650714228816</v>
      </c>
      <c r="Y198" s="378"/>
      <c r="Z198" s="12" t="s">
        <v>10</v>
      </c>
      <c r="AA198" s="58">
        <f>AA260/AA195</f>
        <v>0.5974249580053625</v>
      </c>
      <c r="AB198" s="58">
        <f>AB260/AB195</f>
        <v>0.6512460472969094</v>
      </c>
      <c r="AC198" s="58">
        <f>AC260/AC195</f>
        <v>0.9044010488807643</v>
      </c>
      <c r="AD198" s="58">
        <f>AD260/AD195</f>
        <v>0.7542126802143224</v>
      </c>
      <c r="AE198" s="58" t="e">
        <f>AE260/AE195</f>
        <v>#DIV/0!</v>
      </c>
      <c r="AH198" s="378"/>
      <c r="AI198" s="12" t="s">
        <v>10</v>
      </c>
      <c r="AJ198" s="12"/>
      <c r="AK198" s="58">
        <f>AK260/AK195</f>
        <v>0.5504319390292476</v>
      </c>
      <c r="AL198" s="58">
        <f>AL260/AL195</f>
        <v>0.7647660218711783</v>
      </c>
      <c r="AO198" s="378"/>
      <c r="AP198" s="12" t="s">
        <v>10</v>
      </c>
      <c r="AQ198" s="58">
        <f>AQ260/AQ195</f>
        <v>0.641256918553372</v>
      </c>
      <c r="AR198" s="58">
        <f>AR260/AR195</f>
        <v>0.7436055782168577</v>
      </c>
      <c r="AS198" s="58">
        <f>AS260/AS195</f>
        <v>0.9226677853721649</v>
      </c>
      <c r="AT198" s="58">
        <f>AT260/AT195</f>
        <v>0.7841854647086328</v>
      </c>
      <c r="AU198" s="58" t="e">
        <f>AU260/AU195</f>
        <v>#DIV/0!</v>
      </c>
    </row>
    <row r="199" spans="2:47" ht="12.75">
      <c r="B199" s="89"/>
      <c r="C199" s="90"/>
      <c r="D199" s="278"/>
      <c r="E199" s="278"/>
      <c r="F199" s="278"/>
      <c r="I199" s="89"/>
      <c r="J199" s="90"/>
      <c r="K199" s="278"/>
      <c r="L199" s="278"/>
      <c r="M199" s="278"/>
      <c r="N199" s="278"/>
      <c r="O199" s="278"/>
      <c r="R199" s="89"/>
      <c r="S199" s="90"/>
      <c r="T199" s="90"/>
      <c r="U199" s="278"/>
      <c r="V199" s="278"/>
      <c r="Y199" s="89"/>
      <c r="Z199" s="90"/>
      <c r="AA199" s="278"/>
      <c r="AB199" s="278"/>
      <c r="AC199" s="278"/>
      <c r="AD199" s="278"/>
      <c r="AE199" s="278"/>
      <c r="AH199" s="89"/>
      <c r="AI199" s="90"/>
      <c r="AJ199" s="90"/>
      <c r="AK199" s="278"/>
      <c r="AL199" s="278"/>
      <c r="AO199" s="89"/>
      <c r="AP199" s="90"/>
      <c r="AQ199" s="278"/>
      <c r="AR199" s="278"/>
      <c r="AS199" s="278"/>
      <c r="AT199" s="278"/>
      <c r="AU199" s="278"/>
    </row>
    <row r="200" spans="2:38" ht="12.75">
      <c r="B200" s="118" t="s">
        <v>4</v>
      </c>
      <c r="D200" s="116" t="str">
        <f>CONCATENATE($B$73,"/",$B$42," ratio")</f>
        <v>Exptal/Control ratio</v>
      </c>
      <c r="H200" s="24"/>
      <c r="R200" s="118" t="s">
        <v>5</v>
      </c>
      <c r="U200" s="116" t="str">
        <f>CONCATENATE($B$73,"/",$B$42," ratio")</f>
        <v>Exptal/Control ratio</v>
      </c>
      <c r="V200" s="116"/>
      <c r="AH200" s="116" t="s">
        <v>102</v>
      </c>
      <c r="AJ200" s="11"/>
      <c r="AK200" s="116" t="str">
        <f>CONCATENATE($B$73,"/",$B$42," ratio")</f>
        <v>Exptal/Control ratio</v>
      </c>
      <c r="AL200" s="116" t="str">
        <f>CONCATENATE($B$73,"/",$B$42," ratio")</f>
        <v>Exptal/Control ratio</v>
      </c>
    </row>
    <row r="201" spans="2:38" ht="12.75" customHeight="1">
      <c r="B201" s="433" t="s">
        <v>46</v>
      </c>
      <c r="C201" s="434"/>
      <c r="D201" s="93" t="str">
        <f>D41</f>
        <v>X</v>
      </c>
      <c r="E201" s="93" t="str">
        <f>E41</f>
        <v>Pre1</v>
      </c>
      <c r="F201" s="93" t="str">
        <f>F41</f>
        <v>Pre2</v>
      </c>
      <c r="G201" s="85"/>
      <c r="H201" s="24"/>
      <c r="R201" s="433" t="s">
        <v>46</v>
      </c>
      <c r="S201" s="434"/>
      <c r="T201" s="205"/>
      <c r="U201" s="93" t="str">
        <f>U41</f>
        <v>Pre1</v>
      </c>
      <c r="V201" s="93" t="str">
        <f>V41</f>
        <v>Pre2</v>
      </c>
      <c r="X201" s="105"/>
      <c r="AH201" s="433" t="s">
        <v>46</v>
      </c>
      <c r="AI201" s="434"/>
      <c r="AJ201" s="205"/>
      <c r="AK201" s="93" t="str">
        <f>AK41</f>
        <v>Pre1</v>
      </c>
      <c r="AL201" s="93" t="str">
        <f>AL41</f>
        <v>Pre2</v>
      </c>
    </row>
    <row r="202" spans="2:38" s="349" customFormat="1" ht="12.75" customHeight="1">
      <c r="B202" s="346"/>
      <c r="C202" s="347" t="s">
        <v>142</v>
      </c>
      <c r="D202" s="351">
        <f>$E$35</f>
        <v>90</v>
      </c>
      <c r="E202" s="351">
        <f>$E$35</f>
        <v>90</v>
      </c>
      <c r="F202" s="351">
        <f>$E$35</f>
        <v>90</v>
      </c>
      <c r="R202" s="350"/>
      <c r="S202" s="347" t="s">
        <v>142</v>
      </c>
      <c r="T202" s="351"/>
      <c r="U202" s="348">
        <f>$E$35</f>
        <v>90</v>
      </c>
      <c r="V202" s="348">
        <f>$E$35</f>
        <v>90</v>
      </c>
      <c r="AH202" s="350"/>
      <c r="AI202" s="347" t="s">
        <v>142</v>
      </c>
      <c r="AJ202" s="351"/>
      <c r="AK202" s="351">
        <f>$E$35</f>
        <v>90</v>
      </c>
      <c r="AL202" s="351">
        <f>$E$35</f>
        <v>90</v>
      </c>
    </row>
    <row r="203" spans="2:38" ht="12" customHeight="1">
      <c r="B203" s="22"/>
      <c r="C203" s="37" t="s">
        <v>154</v>
      </c>
      <c r="D203" s="56">
        <f>D94/D63</f>
        <v>0.8155266260409451</v>
      </c>
      <c r="E203" s="56">
        <f>E94/E63</f>
        <v>0.9456724697863722</v>
      </c>
      <c r="F203" s="56">
        <f>F94/F63</f>
        <v>1.063770300687238</v>
      </c>
      <c r="H203" s="24"/>
      <c r="R203" s="22"/>
      <c r="S203" s="37" t="s">
        <v>154</v>
      </c>
      <c r="T203" s="56"/>
      <c r="U203" s="56">
        <f>U94/U63</f>
        <v>0.9975658891879738</v>
      </c>
      <c r="V203" s="56">
        <f>V94/V63</f>
        <v>1.1081318676566017</v>
      </c>
      <c r="X203" s="8"/>
      <c r="AH203" s="22"/>
      <c r="AI203" s="37" t="s">
        <v>154</v>
      </c>
      <c r="AJ203" s="56"/>
      <c r="AK203" s="56">
        <f>AK94/AK63</f>
        <v>0.791962107594458</v>
      </c>
      <c r="AL203" s="56">
        <f>AL94/AL63</f>
        <v>0.928632175411604</v>
      </c>
    </row>
    <row r="204" spans="2:38" ht="12.75" customHeight="1">
      <c r="B204" s="382" t="s">
        <v>147</v>
      </c>
      <c r="C204" s="23" t="s">
        <v>9</v>
      </c>
      <c r="D204" s="57">
        <f>SQRT(FINV((1-(100-D202)/100/2),D65,D96))*D203</f>
        <v>0.5538387098533953</v>
      </c>
      <c r="E204" s="57">
        <f>SQRT(FINV((1-(100-E202)/100/2),E65,E96))*E203</f>
        <v>0.6422230787889229</v>
      </c>
      <c r="F204" s="57">
        <f>SQRT(FINV((1-(100-F202)/100/2),F65,F96))*F203</f>
        <v>0.7224254268350505</v>
      </c>
      <c r="G204" s="47"/>
      <c r="H204" s="24"/>
      <c r="R204" s="435" t="s">
        <v>147</v>
      </c>
      <c r="S204" s="23" t="s">
        <v>9</v>
      </c>
      <c r="T204" s="57"/>
      <c r="U204" s="57">
        <f>SQRT(FINV((1-(100-U202)/100/2),U65,U96))*U203</f>
        <v>0.6774648275357275</v>
      </c>
      <c r="V204" s="57">
        <f>SQRT(FINV((1-(100-V202)/100/2),V65,V96))*V203</f>
        <v>0.7525521599579906</v>
      </c>
      <c r="X204" s="8"/>
      <c r="AH204" s="435" t="s">
        <v>147</v>
      </c>
      <c r="AI204" s="23" t="s">
        <v>9</v>
      </c>
      <c r="AJ204" s="57"/>
      <c r="AK204" s="57">
        <f>SQRT(FINV((1-(100-AK202)/100/2),AK65,AK96))*AK203</f>
        <v>0.5378356241441328</v>
      </c>
      <c r="AL204" s="57">
        <f>SQRT(FINV((1-(100-AL202)/100/2),AL65,AL96))*AL203</f>
        <v>0.6306507102718344</v>
      </c>
    </row>
    <row r="205" spans="2:38" ht="12.75">
      <c r="B205" s="431"/>
      <c r="C205" s="12" t="s">
        <v>10</v>
      </c>
      <c r="D205" s="58">
        <f>SQRT(FINV((100-D202)/100/2,D65,D96))*D203</f>
        <v>1.200861669560402</v>
      </c>
      <c r="E205" s="58">
        <f>SQRT(FINV((100-E202)/100/2,E65,E96))*E203</f>
        <v>1.3925012190441417</v>
      </c>
      <c r="F205" s="58">
        <f>SQRT(FINV((100-F202)/100/2,F65,F96))*F203</f>
        <v>1.5664000886317</v>
      </c>
      <c r="G205" s="55"/>
      <c r="H205" s="24"/>
      <c r="R205" s="436"/>
      <c r="S205" s="12" t="s">
        <v>10</v>
      </c>
      <c r="T205" s="58"/>
      <c r="U205" s="58">
        <f>SQRT(FINV((100-U202)/100/2,U65,U96))*U203</f>
        <v>1.4689141972007576</v>
      </c>
      <c r="V205" s="58">
        <f>SQRT(FINV((100-V202)/100/2,V65,V96))*V203</f>
        <v>1.631722425970654</v>
      </c>
      <c r="X205" s="8"/>
      <c r="AH205" s="436"/>
      <c r="AI205" s="12" t="s">
        <v>10</v>
      </c>
      <c r="AJ205" s="58"/>
      <c r="AK205" s="58">
        <f>SQRT(FINV((100-AK202)/100/2,AK65,AK96))*AK203</f>
        <v>1.1661629533438518</v>
      </c>
      <c r="AL205" s="58">
        <f>SQRT(FINV((100-AL202)/100/2,AL65,AL96))*AL203</f>
        <v>1.367409412474901</v>
      </c>
    </row>
    <row r="206" spans="2:38" ht="12.75" customHeight="1">
      <c r="B206" s="432"/>
      <c r="C206" s="26" t="s">
        <v>11</v>
      </c>
      <c r="D206" s="56">
        <f>SQRT(D205/D204)</f>
        <v>1.4724984215292936</v>
      </c>
      <c r="E206" s="56">
        <f>SQRT(E205/E204)</f>
        <v>1.4724984215292936</v>
      </c>
      <c r="F206" s="56">
        <f>SQRT(F205/F204)</f>
        <v>1.4724984215292936</v>
      </c>
      <c r="G206" s="55"/>
      <c r="H206" s="55"/>
      <c r="R206" s="437"/>
      <c r="S206" s="26" t="s">
        <v>11</v>
      </c>
      <c r="T206" s="56"/>
      <c r="U206" s="56">
        <f>SQRT(U205/U204)</f>
        <v>1.4724984215292936</v>
      </c>
      <c r="V206" s="56">
        <f>SQRT(V205/V204)</f>
        <v>1.4724984215292936</v>
      </c>
      <c r="X206" s="8"/>
      <c r="AH206" s="437"/>
      <c r="AI206" s="26" t="s">
        <v>11</v>
      </c>
      <c r="AJ206" s="56"/>
      <c r="AK206" s="56">
        <f>SQRT(AK205/AK204)</f>
        <v>1.4724984215292936</v>
      </c>
      <c r="AL206" s="56">
        <f>SQRT(AL205/AL204)</f>
        <v>1.4724984215292936</v>
      </c>
    </row>
    <row r="207" spans="2:38" ht="12.75" customHeight="1">
      <c r="B207" s="381" t="s">
        <v>155</v>
      </c>
      <c r="C207" s="97" t="s">
        <v>194</v>
      </c>
      <c r="D207" s="320" t="e">
        <f>IF($C$31&gt;1,$C$31,1/$C$31)</f>
        <v>#DIV/0!</v>
      </c>
      <c r="E207" s="320" t="e">
        <f>IF($C$31&gt;1,$C$31,1/$C$31)</f>
        <v>#DIV/0!</v>
      </c>
      <c r="F207" s="320" t="e">
        <f>IF($C$31&gt;1,$C$31,1/$C$31)</f>
        <v>#DIV/0!</v>
      </c>
      <c r="G207" s="55"/>
      <c r="H207" s="55"/>
      <c r="R207" s="435" t="s">
        <v>155</v>
      </c>
      <c r="S207" s="97" t="s">
        <v>194</v>
      </c>
      <c r="T207" s="257"/>
      <c r="U207" s="320" t="e">
        <f>IF($C$31&gt;1,$C$31,1/$C$31)</f>
        <v>#DIV/0!</v>
      </c>
      <c r="V207" s="320" t="e">
        <f>IF($C$31&gt;1,$C$31,1/$C$31)</f>
        <v>#DIV/0!</v>
      </c>
      <c r="X207" s="8"/>
      <c r="AH207" s="381" t="s">
        <v>155</v>
      </c>
      <c r="AI207" s="97" t="s">
        <v>194</v>
      </c>
      <c r="AJ207" s="257"/>
      <c r="AK207" s="257">
        <f>$C$31</f>
        <v>0</v>
      </c>
      <c r="AL207" s="257">
        <f>$C$31</f>
        <v>0</v>
      </c>
    </row>
    <row r="208" spans="2:38" ht="12.75">
      <c r="B208" s="382"/>
      <c r="C208" s="97" t="s">
        <v>195</v>
      </c>
      <c r="D208" s="320" t="e">
        <f>IF($D$31&lt;1,$D$31,1/$D$31)</f>
        <v>#VALUE!</v>
      </c>
      <c r="E208" s="320" t="e">
        <f>IF($D$31&lt;1,$D$31,1/$D$31)</f>
        <v>#VALUE!</v>
      </c>
      <c r="F208" s="320" t="e">
        <f>IF($D$31&lt;1,$D$31,1/$D$31)</f>
        <v>#VALUE!</v>
      </c>
      <c r="G208" s="55"/>
      <c r="H208" s="55"/>
      <c r="R208" s="437"/>
      <c r="S208" s="97" t="s">
        <v>195</v>
      </c>
      <c r="T208" s="257"/>
      <c r="U208" s="320" t="e">
        <f>IF($D$31&lt;1,$D$31,1/$D$31)</f>
        <v>#VALUE!</v>
      </c>
      <c r="V208" s="320" t="e">
        <f>IF($D$31&lt;1,$D$31,1/$D$31)</f>
        <v>#VALUE!</v>
      </c>
      <c r="X208" s="8"/>
      <c r="AH208" s="382"/>
      <c r="AI208" s="97" t="s">
        <v>195</v>
      </c>
      <c r="AJ208" s="257"/>
      <c r="AK208" s="257" t="e">
        <f>1/AK207</f>
        <v>#DIV/0!</v>
      </c>
      <c r="AL208" s="257" t="e">
        <f>1/AL207</f>
        <v>#DIV/0!</v>
      </c>
    </row>
    <row r="209" spans="2:38" ht="12.75" customHeight="1">
      <c r="B209" s="435" t="s">
        <v>197</v>
      </c>
      <c r="C209" s="392" t="s">
        <v>198</v>
      </c>
      <c r="D209" s="70" t="e">
        <f>100*FDIST(1/D203^2*D207^2,D65,D96)</f>
        <v>#DIV/0!</v>
      </c>
      <c r="E209" s="70" t="e">
        <f>100*FDIST(1/E203^2*E207^2,E65,E96)</f>
        <v>#DIV/0!</v>
      </c>
      <c r="F209" s="70" t="e">
        <f>100*FDIST(1/F203^2*F207^2,F65,F96)</f>
        <v>#DIV/0!</v>
      </c>
      <c r="G209" s="55"/>
      <c r="H209" s="55"/>
      <c r="R209" s="435" t="s">
        <v>197</v>
      </c>
      <c r="S209" s="438" t="s">
        <v>198</v>
      </c>
      <c r="T209" s="70"/>
      <c r="U209" s="70" t="e">
        <f>100*FDIST(1/U203^2*U207^2,U65,U96)</f>
        <v>#DIV/0!</v>
      </c>
      <c r="V209" s="70" t="e">
        <f>100*FDIST(1/V203^2*V207^2,V65,V96)</f>
        <v>#DIV/0!</v>
      </c>
      <c r="AH209" s="435" t="s">
        <v>197</v>
      </c>
      <c r="AI209" s="392" t="s">
        <v>198</v>
      </c>
      <c r="AJ209" s="70"/>
      <c r="AK209" s="70">
        <f>100*FDIST(1/AK203^2*AK207^2,AK65,AK96)</f>
        <v>100</v>
      </c>
      <c r="AL209" s="70">
        <f>100*FDIST(1/AL203^2*AL207^2,AL65,AL96)</f>
        <v>100</v>
      </c>
    </row>
    <row r="210" spans="2:38" ht="19.5">
      <c r="B210" s="436"/>
      <c r="C210" s="393"/>
      <c r="D210" s="21" t="e">
        <f>IF(D209&lt;0.5,"most unlikely",IF(D209&lt;5,"very unlikely",IF(D209&lt;25,"unlikely",IF(D209&lt;75,"possibly",IF(D209&lt;95,"likely",IF(D209&lt;99.5,"very likely","most likely"))))))</f>
        <v>#DIV/0!</v>
      </c>
      <c r="E210" s="21" t="e">
        <f>IF(E209&lt;0.5,"most unlikely",IF(E209&lt;5,"very unlikely",IF(E209&lt;25,"unlikely",IF(E209&lt;75,"possibly",IF(E209&lt;95,"likely",IF(E209&lt;99.5,"very likely","most likely"))))))</f>
        <v>#DIV/0!</v>
      </c>
      <c r="F210" s="21" t="e">
        <f>IF(F209&lt;0.5,"most unlikely",IF(F209&lt;5,"very unlikely",IF(F209&lt;25,"unlikely",IF(F209&lt;75,"possibly",IF(F209&lt;95,"likely",IF(F209&lt;99.5,"very likely","most likely"))))))</f>
        <v>#DIV/0!</v>
      </c>
      <c r="G210" s="55"/>
      <c r="H210" s="55"/>
      <c r="R210" s="436"/>
      <c r="S210" s="439"/>
      <c r="T210" s="21"/>
      <c r="U210" s="21" t="e">
        <f>IF(U209&lt;0.5,"most unlikely",IF(U209&lt;5,"very unlikely",IF(U209&lt;25,"unlikely",IF(U209&lt;75,"possibly",IF(U209&lt;95,"likely",IF(U209&lt;99.5,"very likely","most likely"))))))</f>
        <v>#DIV/0!</v>
      </c>
      <c r="V210" s="21" t="e">
        <f>IF(V209&lt;0.5,"most unlikely",IF(V209&lt;5,"very unlikely",IF(V209&lt;25,"unlikely",IF(V209&lt;75,"possibly",IF(V209&lt;95,"likely",IF(V209&lt;99.5,"very likely","most likely"))))))</f>
        <v>#DIV/0!</v>
      </c>
      <c r="AH210" s="436"/>
      <c r="AI210" s="393"/>
      <c r="AJ210" s="21"/>
      <c r="AK210" s="21" t="str">
        <f>IF(AK209&lt;0.5,"most unlikely",IF(AK209&lt;5,"very unlikely",IF(AK209&lt;25,"unlikely",IF(AK209&lt;75,"possibly",IF(AK209&lt;95,"likely",IF(AK209&lt;99.5,"very likely","most likely"))))))</f>
        <v>most likely</v>
      </c>
      <c r="AL210" s="21" t="str">
        <f>IF(AL209&lt;0.5,"most unlikely",IF(AL209&lt;5,"very unlikely",IF(AL209&lt;25,"unlikely",IF(AL209&lt;75,"possibly",IF(AL209&lt;95,"likely",IF(AL209&lt;99.5,"very likely","most likely"))))))</f>
        <v>most likely</v>
      </c>
    </row>
    <row r="211" spans="2:38" ht="13.5" customHeight="1">
      <c r="B211" s="436"/>
      <c r="C211" s="414" t="s">
        <v>12</v>
      </c>
      <c r="D211" s="70" t="e">
        <f>100-D209-D213</f>
        <v>#DIV/0!</v>
      </c>
      <c r="E211" s="70" t="e">
        <f>100-E209-E213</f>
        <v>#DIV/0!</v>
      </c>
      <c r="F211" s="70" t="e">
        <f>100-F209-F213</f>
        <v>#DIV/0!</v>
      </c>
      <c r="G211" s="55"/>
      <c r="H211" s="55"/>
      <c r="R211" s="436"/>
      <c r="S211" s="445" t="s">
        <v>12</v>
      </c>
      <c r="T211" s="70"/>
      <c r="U211" s="70" t="e">
        <f>100-U209-U213</f>
        <v>#DIV/0!</v>
      </c>
      <c r="V211" s="70" t="e">
        <f>100-V209-V213</f>
        <v>#DIV/0!</v>
      </c>
      <c r="AH211" s="436"/>
      <c r="AI211" s="414" t="s">
        <v>12</v>
      </c>
      <c r="AJ211" s="70"/>
      <c r="AK211" s="70" t="e">
        <f>100-AK209-AK213</f>
        <v>#DIV/0!</v>
      </c>
      <c r="AL211" s="70" t="e">
        <f>100-AL209-AL213</f>
        <v>#DIV/0!</v>
      </c>
    </row>
    <row r="212" spans="2:38" ht="27" customHeight="1">
      <c r="B212" s="436"/>
      <c r="C212" s="415"/>
      <c r="D212" s="21" t="e">
        <f>IF(D211&lt;0.5,"most unlikely",IF(D211&lt;5,"very unlikely",IF(D211&lt;25,"unlikely",IF(D211&lt;75,"possibly",IF(D211&lt;95,"likely",IF(D211&lt;99.5,"very likely","most likely"))))))</f>
        <v>#DIV/0!</v>
      </c>
      <c r="E212" s="21" t="e">
        <f>IF(E211&lt;0.5,"most unlikely",IF(E211&lt;5,"very unlikely",IF(E211&lt;25,"unlikely",IF(E211&lt;75,"possibly",IF(E211&lt;95,"likely",IF(E211&lt;99.5,"very likely","most likely"))))))</f>
        <v>#DIV/0!</v>
      </c>
      <c r="F212" s="21" t="e">
        <f>IF(F211&lt;0.5,"most unlikely",IF(F211&lt;5,"very unlikely",IF(F211&lt;25,"unlikely",IF(F211&lt;75,"possibly",IF(F211&lt;95,"likely",IF(F211&lt;99.5,"very likely","most likely"))))))</f>
        <v>#DIV/0!</v>
      </c>
      <c r="G212" s="55"/>
      <c r="H212" s="55"/>
      <c r="R212" s="436"/>
      <c r="S212" s="446"/>
      <c r="T212" s="21"/>
      <c r="U212" s="21" t="e">
        <f>IF(U211&lt;0.5,"most unlikely",IF(U211&lt;5,"very unlikely",IF(U211&lt;25,"unlikely",IF(U211&lt;75,"possibly",IF(U211&lt;95,"likely",IF(U211&lt;99.5,"very likely","most likely"))))))</f>
        <v>#DIV/0!</v>
      </c>
      <c r="V212" s="21" t="e">
        <f>IF(V211&lt;0.5,"most unlikely",IF(V211&lt;5,"very unlikely",IF(V211&lt;25,"unlikely",IF(V211&lt;75,"possibly",IF(V211&lt;95,"likely",IF(V211&lt;99.5,"very likely","most likely"))))))</f>
        <v>#DIV/0!</v>
      </c>
      <c r="AH212" s="436"/>
      <c r="AI212" s="415"/>
      <c r="AJ212" s="21"/>
      <c r="AK212" s="21" t="e">
        <f>IF(AK211&lt;0.5,"most unlikely",IF(AK211&lt;5,"very unlikely",IF(AK211&lt;25,"unlikely",IF(AK211&lt;75,"possibly",IF(AK211&lt;95,"likely",IF(AK211&lt;99.5,"very likely","most likely"))))))</f>
        <v>#DIV/0!</v>
      </c>
      <c r="AL212" s="21" t="e">
        <f>IF(AL211&lt;0.5,"most unlikely",IF(AL211&lt;5,"very unlikely",IF(AL211&lt;25,"unlikely",IF(AL211&lt;75,"possibly",IF(AL211&lt;95,"likely",IF(AL211&lt;99.5,"very likely","most likely"))))))</f>
        <v>#DIV/0!</v>
      </c>
    </row>
    <row r="213" spans="2:38" ht="12.75" customHeight="1">
      <c r="B213" s="436"/>
      <c r="C213" s="416" t="s">
        <v>199</v>
      </c>
      <c r="D213" s="70" t="e">
        <f>100-100*FDIST(1/D203^2*D208^2,D65,D96)</f>
        <v>#VALUE!</v>
      </c>
      <c r="E213" s="70" t="e">
        <f>100-100*FDIST(1/E203^2*E208^2,E65,E96)</f>
        <v>#VALUE!</v>
      </c>
      <c r="F213" s="70" t="e">
        <f>100-100*FDIST(1/F203^2*F208^2,F65,F96)</f>
        <v>#VALUE!</v>
      </c>
      <c r="G213" s="55"/>
      <c r="H213" s="55"/>
      <c r="R213" s="436"/>
      <c r="S213" s="443" t="s">
        <v>199</v>
      </c>
      <c r="T213" s="70"/>
      <c r="U213" s="70" t="e">
        <f>100-100*FDIST(1/U203^2*U208^2,U65,U96)</f>
        <v>#VALUE!</v>
      </c>
      <c r="V213" s="70" t="e">
        <f>100-100*FDIST(1/V203^2*V208^2,V65,V96)</f>
        <v>#VALUE!</v>
      </c>
      <c r="AH213" s="436"/>
      <c r="AI213" s="416" t="s">
        <v>199</v>
      </c>
      <c r="AJ213" s="70"/>
      <c r="AK213" s="70" t="e">
        <f>100-100*FDIST(1/AK203^2*AK208^2,AK65,AK96)</f>
        <v>#DIV/0!</v>
      </c>
      <c r="AL213" s="70" t="e">
        <f>100-100*FDIST(1/AL203^2*AL208^2,AL65,AL96)</f>
        <v>#DIV/0!</v>
      </c>
    </row>
    <row r="214" spans="2:38" ht="12.75">
      <c r="B214" s="437"/>
      <c r="C214" s="413"/>
      <c r="D214" s="21" t="e">
        <f>IF(D213&lt;0.5,"most unlikely",IF(D213&lt;5,"very unlikely",IF(D213&lt;25,"unlikely",IF(D213&lt;75,"possibly",IF(D213&lt;95,"likely",IF(D213&lt;99.5,"very likely","most likely"))))))</f>
        <v>#VALUE!</v>
      </c>
      <c r="E214" s="21" t="e">
        <f>IF(E213&lt;0.5,"most unlikely",IF(E213&lt;5,"very unlikely",IF(E213&lt;25,"unlikely",IF(E213&lt;75,"possibly",IF(E213&lt;95,"likely",IF(E213&lt;99.5,"very likely","most likely"))))))</f>
        <v>#VALUE!</v>
      </c>
      <c r="F214" s="21" t="e">
        <f>IF(F213&lt;0.5,"most unlikely",IF(F213&lt;5,"very unlikely",IF(F213&lt;25,"unlikely",IF(F213&lt;75,"possibly",IF(F213&lt;95,"likely",IF(F213&lt;99.5,"very likely","most likely"))))))</f>
        <v>#VALUE!</v>
      </c>
      <c r="G214" s="55"/>
      <c r="H214" s="55"/>
      <c r="P214" s="24"/>
      <c r="Q214" s="24"/>
      <c r="R214" s="437"/>
      <c r="S214" s="444"/>
      <c r="T214" s="21"/>
      <c r="U214" s="21" t="e">
        <f>IF(U213&lt;0.5,"most unlikely",IF(U213&lt;5,"very unlikely",IF(U213&lt;25,"unlikely",IF(U213&lt;75,"possibly",IF(U213&lt;95,"likely",IF(U213&lt;99.5,"very likely","most likely"))))))</f>
        <v>#VALUE!</v>
      </c>
      <c r="V214" s="21" t="e">
        <f>IF(V213&lt;0.5,"most unlikely",IF(V213&lt;5,"very unlikely",IF(V213&lt;25,"unlikely",IF(V213&lt;75,"possibly",IF(V213&lt;95,"likely",IF(V213&lt;99.5,"very likely","most likely"))))))</f>
        <v>#VALUE!</v>
      </c>
      <c r="AH214" s="437"/>
      <c r="AI214" s="413"/>
      <c r="AJ214" s="21"/>
      <c r="AK214" s="21" t="e">
        <f>IF(AK213&lt;0.5,"most unlikely",IF(AK213&lt;5,"very unlikely",IF(AK213&lt;25,"unlikely",IF(AK213&lt;75,"possibly",IF(AK213&lt;95,"likely",IF(AK213&lt;99.5,"very likely","most likely"))))))</f>
        <v>#DIV/0!</v>
      </c>
      <c r="AL214" s="21" t="e">
        <f>IF(AL213&lt;0.5,"most unlikely",IF(AL213&lt;5,"very unlikely",IF(AL213&lt;25,"unlikely",IF(AL213&lt;75,"possibly",IF(AL213&lt;95,"likely",IF(AL213&lt;99.5,"very likely","most likely"))))))</f>
        <v>#DIV/0!</v>
      </c>
    </row>
    <row r="215" spans="2:38" ht="33.75" customHeight="1">
      <c r="B215" s="369" t="str">
        <f>"Mechanistic inference, based on threshold chances of "&amp;(100-$E$33)/2&amp;"% for substantial magnitudes"</f>
        <v>Mechanistic inference, based on threshold chances of 5% for substantial magnitudes</v>
      </c>
      <c r="C215" s="370"/>
      <c r="D215" s="321" t="e">
        <f>IF(MIN(D209,D213)&gt;(100-D202)/2,"unclear; get more data",IF(D209&gt;5,D210&amp;" &gt;",IF(D213&gt;5,D214&amp;" &lt;",D212&amp;" trivial")))</f>
        <v>#DIV/0!</v>
      </c>
      <c r="E215" s="321" t="e">
        <f>IF(MIN(E209,E213)&gt;(100-E202)/2,"unclear; get more data",IF(E209&gt;5,E210&amp;" &gt;",IF(E213&gt;5,E214&amp;" &lt;",E212&amp;" trivial")))</f>
        <v>#DIV/0!</v>
      </c>
      <c r="F215" s="321" t="e">
        <f>IF(MIN(F209,F213)&gt;(100-F202)/2,"unclear; get more data",IF(F209&gt;5,F210&amp;" &gt;",IF(F213&gt;5,F214&amp;" &lt;",F212&amp;" trivial")))</f>
        <v>#DIV/0!</v>
      </c>
      <c r="R215" s="369" t="str">
        <f>"Mechanistic inference, based on threshold chances of "&amp;(100-$E$33)/2&amp;"% for substantial magnitudes"</f>
        <v>Mechanistic inference, based on threshold chances of 5% for substantial magnitudes</v>
      </c>
      <c r="S215" s="370"/>
      <c r="T215" s="277"/>
      <c r="U215" s="321" t="e">
        <f>IF(MIN(U209,U213)&gt;(100-U202)/2,"unclear; get more data",IF(U209&gt;5,U210&amp;" &gt;",IF(U213&gt;5,U214&amp;" &lt;",U212&amp;" trivial")))</f>
        <v>#DIV/0!</v>
      </c>
      <c r="V215" s="321" t="e">
        <f>IF(MIN(V209,V213)&gt;(100-V202)/2,"unclear; get more data",IF(V209&gt;5,V210&amp;" &gt;",IF(V213&gt;5,V214&amp;" &lt;",V212&amp;" trivial")))</f>
        <v>#DIV/0!</v>
      </c>
      <c r="AH215" s="369" t="str">
        <f>"Mechanistic inference, based on threshold chances of "&amp;(100-$E$33)/2&amp;"% for substantial magnitudes"</f>
        <v>Mechanistic inference, based on threshold chances of 5% for substantial magnitudes</v>
      </c>
      <c r="AI215" s="370"/>
      <c r="AJ215" s="277"/>
      <c r="AK215" s="321" t="e">
        <f>IF(MIN(AK209,AK213)&gt;(100-AK202)/2,"unclear; get more data",IF(AK209&gt;5,AK210&amp;" &gt;",IF(AK213&gt;5,AK214&amp;" &lt;",AK212&amp;" trivial")))</f>
        <v>#DIV/0!</v>
      </c>
      <c r="AL215" s="321" t="e">
        <f>IF(MIN(AL209,AL213)&gt;(100-AL202)/2,"unclear; get more data",IF(AL209&gt;5,AL210&amp;" &gt;",IF(AL213&gt;5,AL214&amp;" &lt;",AL212&amp;" trivial")))</f>
        <v>#DIV/0!</v>
      </c>
    </row>
    <row r="216" spans="2:43" ht="12.75" customHeight="1">
      <c r="B216" s="86"/>
      <c r="C216" s="87"/>
      <c r="D216" s="87"/>
      <c r="E216" s="88"/>
      <c r="F216" s="88"/>
      <c r="I216" s="118" t="s">
        <v>4</v>
      </c>
      <c r="K216" s="116" t="str">
        <f>CONCATENATE($B$42," data only")</f>
        <v>Control data only</v>
      </c>
      <c r="Y216" s="118" t="s">
        <v>5</v>
      </c>
      <c r="AA216" s="116" t="str">
        <f>CONCATENATE($B$42," data only")</f>
        <v>Control data only</v>
      </c>
      <c r="AO216" s="116" t="s">
        <v>102</v>
      </c>
      <c r="AQ216" s="116" t="str">
        <f>CONCATENATE($B$42," data only")</f>
        <v>Control data only</v>
      </c>
    </row>
    <row r="217" spans="2:47" ht="25.5" customHeight="1">
      <c r="B217" s="89"/>
      <c r="C217" s="90"/>
      <c r="D217" s="90"/>
      <c r="E217" s="91"/>
      <c r="F217" s="91"/>
      <c r="I217" s="390" t="s">
        <v>196</v>
      </c>
      <c r="J217" s="391"/>
      <c r="K217" s="79" t="str">
        <f>K41</f>
        <v>Pre2-Pre1</v>
      </c>
      <c r="L217" s="79" t="str">
        <f>L41</f>
        <v>Post1-Pre2</v>
      </c>
      <c r="M217" s="79" t="str">
        <f>M41</f>
        <v>Post2-Pre2</v>
      </c>
      <c r="N217" s="79" t="str">
        <f>N41</f>
        <v>Post2-Post1</v>
      </c>
      <c r="O217" s="79" t="str">
        <f>O41</f>
        <v>other effect</v>
      </c>
      <c r="Y217" s="390" t="s">
        <v>196</v>
      </c>
      <c r="Z217" s="391"/>
      <c r="AA217" s="79" t="str">
        <f>AA41</f>
        <v>Pre2-Pre1</v>
      </c>
      <c r="AB217" s="79" t="str">
        <f>AB41</f>
        <v>Post1-Pre2</v>
      </c>
      <c r="AC217" s="79" t="str">
        <f>AC41</f>
        <v>Post2-Pre2</v>
      </c>
      <c r="AD217" s="79" t="str">
        <f>AD41</f>
        <v>Post2-Post1</v>
      </c>
      <c r="AE217" s="79" t="str">
        <f>AE41</f>
        <v>other effect</v>
      </c>
      <c r="AO217" s="390" t="s">
        <v>62</v>
      </c>
      <c r="AP217" s="391"/>
      <c r="AQ217" s="79" t="str">
        <f>AQ41</f>
        <v>Pre2-Pre1</v>
      </c>
      <c r="AR217" s="79" t="str">
        <f>AR41</f>
        <v>Post1-Pre2</v>
      </c>
      <c r="AS217" s="79" t="str">
        <f>AS41</f>
        <v>Post2-Pre2</v>
      </c>
      <c r="AT217" s="79" t="str">
        <f>AT41</f>
        <v>Post2-Post1</v>
      </c>
      <c r="AU217" s="79" t="str">
        <f>AU41</f>
        <v>other effect</v>
      </c>
    </row>
    <row r="218" spans="2:47" s="349" customFormat="1" ht="12.75">
      <c r="B218" s="55"/>
      <c r="C218" s="55"/>
      <c r="D218" s="55"/>
      <c r="E218" s="55"/>
      <c r="F218" s="55"/>
      <c r="G218" s="55"/>
      <c r="H218" s="55"/>
      <c r="I218" s="346"/>
      <c r="J218" s="347" t="s">
        <v>142</v>
      </c>
      <c r="K218" s="351">
        <f>$E$35</f>
        <v>90</v>
      </c>
      <c r="L218" s="351">
        <f>$E$35</f>
        <v>90</v>
      </c>
      <c r="M218" s="351">
        <f>$E$35</f>
        <v>90</v>
      </c>
      <c r="N218" s="351">
        <f>$E$35</f>
        <v>90</v>
      </c>
      <c r="O218" s="351">
        <f>$E$35</f>
        <v>90</v>
      </c>
      <c r="Y218" s="350"/>
      <c r="Z218" s="347" t="s">
        <v>142</v>
      </c>
      <c r="AA218" s="348">
        <f>$E$35</f>
        <v>90</v>
      </c>
      <c r="AB218" s="348">
        <f>$E$35</f>
        <v>90</v>
      </c>
      <c r="AC218" s="348">
        <f>$E$35</f>
        <v>90</v>
      </c>
      <c r="AD218" s="348">
        <f>$E$35</f>
        <v>90</v>
      </c>
      <c r="AE218" s="348">
        <f>$E$35</f>
        <v>90</v>
      </c>
      <c r="AO218" s="350"/>
      <c r="AP218" s="347" t="s">
        <v>142</v>
      </c>
      <c r="AQ218" s="351">
        <f>$E$35</f>
        <v>90</v>
      </c>
      <c r="AR218" s="351">
        <f>$E$35</f>
        <v>90</v>
      </c>
      <c r="AS218" s="351">
        <f>$E$35</f>
        <v>90</v>
      </c>
      <c r="AT218" s="351">
        <f>$E$35</f>
        <v>90</v>
      </c>
      <c r="AU218" s="351">
        <f>$E$35</f>
        <v>90</v>
      </c>
    </row>
    <row r="219" spans="9:47" ht="12.75">
      <c r="I219" s="22"/>
      <c r="J219" s="25" t="s">
        <v>141</v>
      </c>
      <c r="K219" s="20">
        <f>K65</f>
        <v>19</v>
      </c>
      <c r="L219" s="20">
        <f>L65</f>
        <v>19</v>
      </c>
      <c r="M219" s="20">
        <f>M65</f>
        <v>19</v>
      </c>
      <c r="N219" s="20">
        <f>N65</f>
        <v>19</v>
      </c>
      <c r="O219" s="20">
        <f>O65</f>
        <v>-1</v>
      </c>
      <c r="Y219" s="22"/>
      <c r="Z219" s="25" t="s">
        <v>141</v>
      </c>
      <c r="AA219" s="20">
        <f>AA65</f>
        <v>19</v>
      </c>
      <c r="AB219" s="20">
        <f>AB65</f>
        <v>19</v>
      </c>
      <c r="AC219" s="20">
        <f>AC65</f>
        <v>19</v>
      </c>
      <c r="AD219" s="20">
        <f>AD65</f>
        <v>19</v>
      </c>
      <c r="AE219" s="20">
        <f>AE65</f>
        <v>-1</v>
      </c>
      <c r="AO219" s="22"/>
      <c r="AP219" s="25" t="s">
        <v>141</v>
      </c>
      <c r="AQ219" s="20">
        <f>AQ65</f>
        <v>19</v>
      </c>
      <c r="AR219" s="20">
        <f>AR65</f>
        <v>19</v>
      </c>
      <c r="AS219" s="20">
        <f>AS65</f>
        <v>19</v>
      </c>
      <c r="AT219" s="20">
        <f>AT65</f>
        <v>19</v>
      </c>
      <c r="AU219" s="20">
        <f>AU65</f>
        <v>-1</v>
      </c>
    </row>
    <row r="220" spans="9:47" ht="12.75" customHeight="1">
      <c r="I220" s="112" t="s">
        <v>63</v>
      </c>
      <c r="J220" s="113"/>
      <c r="K220" s="113"/>
      <c r="L220" s="113"/>
      <c r="M220" s="113"/>
      <c r="N220" s="113"/>
      <c r="O220" s="114"/>
      <c r="Y220" s="112" t="s">
        <v>56</v>
      </c>
      <c r="Z220" s="113"/>
      <c r="AA220" s="113"/>
      <c r="AB220" s="113"/>
      <c r="AC220" s="113"/>
      <c r="AD220" s="114"/>
      <c r="AE220" s="114"/>
      <c r="AO220" s="112" t="s">
        <v>69</v>
      </c>
      <c r="AP220" s="113"/>
      <c r="AQ220" s="113"/>
      <c r="AR220" s="113"/>
      <c r="AS220" s="113"/>
      <c r="AT220" s="114"/>
      <c r="AU220" s="114"/>
    </row>
    <row r="221" spans="9:47" ht="12.75">
      <c r="I221" s="22"/>
      <c r="J221" s="31" t="s">
        <v>151</v>
      </c>
      <c r="K221" s="111">
        <f>K63/SQRT(2)</f>
        <v>8.670066081999776</v>
      </c>
      <c r="L221" s="111">
        <f>L63/SQRT(2)</f>
        <v>8.07558490000923</v>
      </c>
      <c r="M221" s="111">
        <f>M63/SQRT(2)</f>
        <v>6.608553810774465</v>
      </c>
      <c r="N221" s="111">
        <f>N63/SQRT(2)</f>
        <v>9.46973879621892</v>
      </c>
      <c r="O221" s="110" t="e">
        <f>O63/SQRT(2)</f>
        <v>#DIV/0!</v>
      </c>
      <c r="Y221" s="22"/>
      <c r="Z221" s="31" t="s">
        <v>57</v>
      </c>
      <c r="AA221" s="110">
        <f aca="true" t="shared" si="69" ref="AA221:AE223">100*EXP(AA236/100)-100</f>
        <v>2.1557612221180307</v>
      </c>
      <c r="AB221" s="110">
        <f t="shared" si="69"/>
        <v>2.0455162080886</v>
      </c>
      <c r="AC221" s="110">
        <f t="shared" si="69"/>
        <v>1.6132842109585397</v>
      </c>
      <c r="AD221" s="110">
        <f t="shared" si="69"/>
        <v>2.3427852295984053</v>
      </c>
      <c r="AE221" s="110" t="e">
        <f t="shared" si="69"/>
        <v>#DIV/0!</v>
      </c>
      <c r="AO221" s="22"/>
      <c r="AP221" s="31" t="s">
        <v>152</v>
      </c>
      <c r="AQ221" s="111">
        <f>(PERCENTILE(allraw,(100*PERCENTRANK(allraw,AQ170)+AQ231)/100)-PERCENTILE(allraw,(100*PERCENTRANK(allraw,AQ170)-AQ231)/100))/2</f>
        <v>9.731524046423345</v>
      </c>
      <c r="AR221" s="111">
        <f>(PERCENTILE(allraw,(100*PERCENTRANK(allraw,AR170)+AR231)/100)-PERCENTILE(allraw,(100*PERCENTRANK(allraw,AR170)-AR231)/100))/2</f>
        <v>8.794002998855433</v>
      </c>
      <c r="AS221" s="111">
        <f>(PERCENTILE(allraw,(100*PERCENTRANK(allraw,AS170)+AS231)/100)-PERCENTILE(allraw,(100*PERCENTRANK(allraw,AS170)-AS231)/100))/2</f>
        <v>6.498680658683725</v>
      </c>
      <c r="AT221" s="111">
        <f>(PERCENTILE(allraw,(100*PERCENTRANK(allraw,AT170)+AT231)/100)-PERCENTILE(allraw,(100*PERCENTRANK(allraw,AT170)-AT231)/100))/2</f>
        <v>9.727475652169232</v>
      </c>
      <c r="AU221" s="111" t="e">
        <f>(PERCENTILE(allraw,(100*PERCENTRANK(allraw,AU170)+AU231)/100)-PERCENTILE(allraw,(100*PERCENTRANK(allraw,AU170)-AU231)/100))/2</f>
        <v>#DIV/0!</v>
      </c>
    </row>
    <row r="222" spans="9:47" ht="12.75" customHeight="1">
      <c r="I222" s="398" t="s">
        <v>147</v>
      </c>
      <c r="J222" s="23" t="s">
        <v>9</v>
      </c>
      <c r="K222" s="57">
        <f>SQRT(K219*K221^2/CHIINV((100-K218)/100/2,K219))</f>
        <v>6.883386780214135</v>
      </c>
      <c r="L222" s="57">
        <f>SQRT(L219*L221^2/CHIINV((100-L218)/100/2,L219))</f>
        <v>6.411412994720687</v>
      </c>
      <c r="M222" s="57">
        <f>SQRT(M219*M221^2/CHIINV((100-M218)/100/2,M219))</f>
        <v>5.246699564592761</v>
      </c>
      <c r="N222" s="57">
        <f>SQRT(N219*N221^2/CHIINV((100-N218)/100/2,N219))</f>
        <v>7.518267360995636</v>
      </c>
      <c r="O222" s="60" t="e">
        <f>SQRT(O219*O221^2/CHIINV((100-O218)/100/2,O219))</f>
        <v>#DIV/0!</v>
      </c>
      <c r="Y222" s="377" t="s">
        <v>147</v>
      </c>
      <c r="Z222" s="42" t="s">
        <v>9</v>
      </c>
      <c r="AA222" s="60">
        <f t="shared" si="69"/>
        <v>1.7077447476127219</v>
      </c>
      <c r="AB222" s="60">
        <f t="shared" si="69"/>
        <v>1.620592579997009</v>
      </c>
      <c r="AC222" s="60">
        <f t="shared" si="69"/>
        <v>1.2787121057101842</v>
      </c>
      <c r="AD222" s="60">
        <f t="shared" si="69"/>
        <v>1.8555488242785145</v>
      </c>
      <c r="AE222" s="60" t="e">
        <f t="shared" si="69"/>
        <v>#DIV/0!</v>
      </c>
      <c r="AO222" s="398" t="s">
        <v>147</v>
      </c>
      <c r="AP222" s="23" t="s">
        <v>9</v>
      </c>
      <c r="AQ222" s="57">
        <f>SQRT(AQ219*AQ221^2/CHIINV((100-AQ218)/100/2,AQ219))</f>
        <v>7.726105353632546</v>
      </c>
      <c r="AR222" s="57">
        <f>SQRT(AR219*AR221^2/CHIINV((100-AR218)/100/2,AR219))</f>
        <v>6.981783462199742</v>
      </c>
      <c r="AS222" s="57">
        <f>SQRT(AS219*AS221^2/CHIINV((100-AS218)/100/2,AS219))</f>
        <v>5.159468464454778</v>
      </c>
      <c r="AT222" s="57">
        <f>SQRT(AT219*AT221^2/CHIINV((100-AT218)/100/2,AT219))</f>
        <v>7.722891230092276</v>
      </c>
      <c r="AU222" s="57" t="e">
        <f>SQRT(AU219*AU221^2/CHIINV((100-AU218)/100/2,AU219))</f>
        <v>#DIV/0!</v>
      </c>
    </row>
    <row r="223" spans="9:47" ht="12.75">
      <c r="I223" s="399"/>
      <c r="J223" s="12" t="s">
        <v>10</v>
      </c>
      <c r="K223" s="58">
        <f>SQRT(K219*K221^2/CHIINV(1-(100-K218)/100/2,K219))</f>
        <v>11.881548707364546</v>
      </c>
      <c r="L223" s="58">
        <f>SQRT(L219*L221^2/CHIINV(1-(100-L218)/100/2,L219))</f>
        <v>11.06686551433828</v>
      </c>
      <c r="M223" s="58">
        <f>SQRT(M219*M221^2/CHIINV(1-(100-M218)/100/2,M219))</f>
        <v>9.056430855927866</v>
      </c>
      <c r="N223" s="58">
        <f>SQRT(N219*N221^2/CHIINV(1-(100-N218)/100/2,N219))</f>
        <v>12.977428509673233</v>
      </c>
      <c r="O223" s="64" t="e">
        <f>SQRT(O219*O221^2/CHIINV(1-(100-O218)/100/2,O219))</f>
        <v>#DIV/0!</v>
      </c>
      <c r="Y223" s="401"/>
      <c r="Z223" s="42" t="s">
        <v>10</v>
      </c>
      <c r="AA223" s="64">
        <f t="shared" si="69"/>
        <v>2.966019889026768</v>
      </c>
      <c r="AB223" s="64">
        <f t="shared" si="69"/>
        <v>2.813771105149641</v>
      </c>
      <c r="AC223" s="64">
        <f t="shared" si="69"/>
        <v>2.217445040180948</v>
      </c>
      <c r="AD223" s="64">
        <f t="shared" si="69"/>
        <v>3.2244399586653003</v>
      </c>
      <c r="AE223" s="64" t="e">
        <f t="shared" si="69"/>
        <v>#DIV/0!</v>
      </c>
      <c r="AO223" s="399"/>
      <c r="AP223" s="12" t="s">
        <v>10</v>
      </c>
      <c r="AQ223" s="58">
        <f>SQRT(AQ219*AQ221^2/CHIINV(1-(100-AQ218)/100/2,AQ219))</f>
        <v>13.336181738513224</v>
      </c>
      <c r="AR223" s="58">
        <f>SQRT(AR219*AR221^2/CHIINV(1-(100-AR218)/100/2,AR219))</f>
        <v>12.051393146880217</v>
      </c>
      <c r="AS223" s="58">
        <f>SQRT(AS219*AS221^2/CHIINV(1-(100-AS218)/100/2,AS219))</f>
        <v>8.905859545876595</v>
      </c>
      <c r="AT223" s="58">
        <f>SQRT(AT219*AT221^2/CHIINV(1-(100-AT218)/100/2,AT219))</f>
        <v>13.330633776933471</v>
      </c>
      <c r="AU223" s="58" t="e">
        <f>SQRT(AU219*AU221^2/CHIINV(1-(100-AU218)/100/2,AU219))</f>
        <v>#DIV/0!</v>
      </c>
    </row>
    <row r="224" spans="9:47" ht="15">
      <c r="I224" s="400"/>
      <c r="J224" s="13" t="s">
        <v>25</v>
      </c>
      <c r="K224" s="56">
        <f>SQRT(K223/K222)</f>
        <v>1.3138187018590246</v>
      </c>
      <c r="L224" s="56">
        <f>SQRT(L223/L222)</f>
        <v>1.3138187018590246</v>
      </c>
      <c r="M224" s="56">
        <f>SQRT(M223/M222)</f>
        <v>1.3138187018590246</v>
      </c>
      <c r="N224" s="56">
        <f>SQRT(N223/N222)</f>
        <v>1.3138187018590246</v>
      </c>
      <c r="O224" s="56" t="e">
        <f>SQRT(O223/O222)</f>
        <v>#DIV/0!</v>
      </c>
      <c r="Y224" s="109"/>
      <c r="Z224" s="13" t="s">
        <v>58</v>
      </c>
      <c r="AA224" s="56">
        <f>SQRT(AA223/AA222)</f>
        <v>1.3178790383242958</v>
      </c>
      <c r="AB224" s="56">
        <f>SQRT(AB223/AB222)</f>
        <v>1.3176724315739483</v>
      </c>
      <c r="AC224" s="56">
        <f>SQRT(AC223/AC222)</f>
        <v>1.3168613277246828</v>
      </c>
      <c r="AD224" s="56">
        <f>SQRT(AD223/AD222)</f>
        <v>1.3182292809886218</v>
      </c>
      <c r="AE224" s="56" t="e">
        <f>SQRT(AE223/AE222)</f>
        <v>#DIV/0!</v>
      </c>
      <c r="AO224" s="400"/>
      <c r="AP224" s="13" t="s">
        <v>25</v>
      </c>
      <c r="AQ224" s="56">
        <f>SQRT(AQ223/AQ222)</f>
        <v>1.3138187018590246</v>
      </c>
      <c r="AR224" s="56">
        <f>SQRT(AR223/AR222)</f>
        <v>1.3138187018590246</v>
      </c>
      <c r="AS224" s="56">
        <f>SQRT(AS223/AS222)</f>
        <v>1.3138187018590246</v>
      </c>
      <c r="AT224" s="56">
        <f>SQRT(AT223/AT222)</f>
        <v>1.3138187018590246</v>
      </c>
      <c r="AU224" s="56" t="e">
        <f>SQRT(AU223/AU222)</f>
        <v>#DIV/0!</v>
      </c>
    </row>
    <row r="225" spans="9:47" ht="12.75" customHeight="1">
      <c r="I225" s="112" t="s">
        <v>61</v>
      </c>
      <c r="J225" s="113"/>
      <c r="K225" s="113"/>
      <c r="L225" s="113"/>
      <c r="M225" s="113"/>
      <c r="N225" s="113"/>
      <c r="O225" s="114"/>
      <c r="Y225" s="112" t="s">
        <v>59</v>
      </c>
      <c r="Z225" s="113"/>
      <c r="AA225" s="113"/>
      <c r="AB225" s="113"/>
      <c r="AC225" s="113"/>
      <c r="AD225" s="114"/>
      <c r="AE225" s="114"/>
      <c r="AO225" s="112" t="s">
        <v>61</v>
      </c>
      <c r="AP225" s="113"/>
      <c r="AQ225" s="113"/>
      <c r="AR225" s="113"/>
      <c r="AS225" s="113"/>
      <c r="AT225" s="114"/>
      <c r="AU225" s="114"/>
    </row>
    <row r="226" spans="9:47" ht="12.75" customHeight="1">
      <c r="I226" s="22"/>
      <c r="J226" s="31" t="s">
        <v>150</v>
      </c>
      <c r="K226" s="111">
        <f>K221/K195</f>
        <v>0.3851955408415589</v>
      </c>
      <c r="L226" s="111">
        <f>L221/L195</f>
        <v>0.3587838043852019</v>
      </c>
      <c r="M226" s="111">
        <f>M221/M195</f>
        <v>0.29360623497516275</v>
      </c>
      <c r="N226" s="111">
        <f>N221/N195</f>
        <v>0.4207235703555891</v>
      </c>
      <c r="O226" s="111" t="e">
        <f>O221/O195</f>
        <v>#DIV/0!</v>
      </c>
      <c r="Y226" s="22"/>
      <c r="Z226" s="31" t="s">
        <v>60</v>
      </c>
      <c r="AA226" s="103">
        <f aca="true" t="shared" si="70" ref="AA226:AE228">EXP(AA236/100)</f>
        <v>1.0215576122211802</v>
      </c>
      <c r="AB226" s="103">
        <f t="shared" si="70"/>
        <v>1.020455162080886</v>
      </c>
      <c r="AC226" s="103">
        <f t="shared" si="70"/>
        <v>1.0161328421095854</v>
      </c>
      <c r="AD226" s="103">
        <f t="shared" si="70"/>
        <v>1.023427852295984</v>
      </c>
      <c r="AE226" s="103" t="e">
        <f t="shared" si="70"/>
        <v>#DIV/0!</v>
      </c>
      <c r="AO226" s="22"/>
      <c r="AP226" s="31" t="s">
        <v>150</v>
      </c>
      <c r="AQ226" s="111">
        <f>AQ231/AQ195</f>
        <v>0.46182395843127166</v>
      </c>
      <c r="AR226" s="111">
        <f>AR231/AR195</f>
        <v>0.3943600467242451</v>
      </c>
      <c r="AS226" s="111">
        <f>AS231/AS195</f>
        <v>0.29938163150941627</v>
      </c>
      <c r="AT226" s="111">
        <f>AT231/AT195</f>
        <v>0.459661715020345</v>
      </c>
      <c r="AU226" s="111" t="e">
        <f>AU231/AU195</f>
        <v>#DIV/0!</v>
      </c>
    </row>
    <row r="227" spans="7:47" ht="12.75" customHeight="1">
      <c r="G227" s="96"/>
      <c r="H227" s="24"/>
      <c r="I227" s="398" t="s">
        <v>147</v>
      </c>
      <c r="J227" s="23" t="s">
        <v>9</v>
      </c>
      <c r="K227" s="57">
        <f>SQRT(K219*K226^2/CHIINV((100-K218)/100/2,K219))</f>
        <v>0.30581657262462936</v>
      </c>
      <c r="L227" s="57">
        <f>SQRT(L219*L226^2/CHIINV((100-L218)/100/2,L219))</f>
        <v>0.28484762084886</v>
      </c>
      <c r="M227" s="57">
        <f>SQRT(M219*M226^2/CHIINV((100-M218)/100/2,M219))</f>
        <v>0.23310148472943698</v>
      </c>
      <c r="N227" s="57">
        <f>SQRT(N219*N226^2/CHIINV((100-N218)/100/2,N219))</f>
        <v>0.3340231821672785</v>
      </c>
      <c r="O227" s="57" t="e">
        <f>SQRT(O219*O226^2/CHIINV((100-O218)/100/2,O219))</f>
        <v>#DIV/0!</v>
      </c>
      <c r="Y227" s="398" t="s">
        <v>147</v>
      </c>
      <c r="Z227" s="42" t="s">
        <v>9</v>
      </c>
      <c r="AA227" s="62">
        <f t="shared" si="70"/>
        <v>1.0170774474761273</v>
      </c>
      <c r="AB227" s="62">
        <f t="shared" si="70"/>
        <v>1.01620592579997</v>
      </c>
      <c r="AC227" s="62">
        <f t="shared" si="70"/>
        <v>1.0127871210571018</v>
      </c>
      <c r="AD227" s="62">
        <f t="shared" si="70"/>
        <v>1.0185554882427852</v>
      </c>
      <c r="AE227" s="62" t="e">
        <f t="shared" si="70"/>
        <v>#DIV/0!</v>
      </c>
      <c r="AO227" s="398" t="s">
        <v>147</v>
      </c>
      <c r="AP227" s="23" t="s">
        <v>9</v>
      </c>
      <c r="AQ227" s="57">
        <f>SQRT(AQ219*AQ226^2/CHIINV((100-AQ218)/100/2,AQ219))</f>
        <v>0.36665382941565217</v>
      </c>
      <c r="AR227" s="57">
        <f>SQRT(AR219*AR226^2/CHIINV((100-AR218)/100/2,AR219))</f>
        <v>0.3130925077839986</v>
      </c>
      <c r="AS227" s="57">
        <f>SQRT(AS219*AS226^2/CHIINV((100-AS218)/100/2,AS219))</f>
        <v>0.23768671946448824</v>
      </c>
      <c r="AT227" s="57">
        <f>SQRT(AT219*AT226^2/CHIINV((100-AT218)/100/2,AT219))</f>
        <v>0.36493716917689367</v>
      </c>
      <c r="AU227" s="57" t="e">
        <f>SQRT(AU219*AU226^2/CHIINV((100-AU218)/100/2,AU219))</f>
        <v>#DIV/0!</v>
      </c>
    </row>
    <row r="228" spans="7:47" ht="12.75" customHeight="1">
      <c r="G228" s="95"/>
      <c r="H228" s="24"/>
      <c r="I228" s="399"/>
      <c r="J228" s="12" t="s">
        <v>10</v>
      </c>
      <c r="K228" s="58">
        <f>SQRT(K219*K226^2/CHIINV(1-(100-K218)/100/2,K219))</f>
        <v>0.5278759743101034</v>
      </c>
      <c r="L228" s="58">
        <f>SQRT(L219*L226^2/CHIINV(1-(100-L218)/100/2,L219))</f>
        <v>0.4916810560494688</v>
      </c>
      <c r="M228" s="58">
        <f>SQRT(M219*M226^2/CHIINV(1-(100-M218)/100/2,M219))</f>
        <v>0.4023610372342957</v>
      </c>
      <c r="N228" s="58">
        <f>SQRT(N219*N226^2/CHIINV(1-(100-N218)/100/2,N219))</f>
        <v>0.5765639553652916</v>
      </c>
      <c r="O228" s="58" t="e">
        <f>SQRT(O219*O226^2/CHIINV(1-(100-O218)/100/2,O219))</f>
        <v>#DIV/0!</v>
      </c>
      <c r="Y228" s="399"/>
      <c r="Z228" s="42" t="s">
        <v>10</v>
      </c>
      <c r="AA228" s="63">
        <f t="shared" si="70"/>
        <v>1.0296601988902676</v>
      </c>
      <c r="AB228" s="63">
        <f t="shared" si="70"/>
        <v>1.0281377110514964</v>
      </c>
      <c r="AC228" s="63">
        <f t="shared" si="70"/>
        <v>1.0221744504018095</v>
      </c>
      <c r="AD228" s="63">
        <f t="shared" si="70"/>
        <v>1.032244399586653</v>
      </c>
      <c r="AE228" s="63" t="e">
        <f t="shared" si="70"/>
        <v>#DIV/0!</v>
      </c>
      <c r="AO228" s="399"/>
      <c r="AP228" s="12" t="s">
        <v>10</v>
      </c>
      <c r="AQ228" s="58">
        <f>SQRT(AQ219*AQ226^2/CHIINV(1-(100-AQ218)/100/2,AQ219))</f>
        <v>0.6328883545329818</v>
      </c>
      <c r="AR228" s="58">
        <f>SQRT(AR219*AR226^2/CHIINV(1-(100-AR218)/100/2,AR219))</f>
        <v>0.5404351084613565</v>
      </c>
      <c r="AS228" s="58">
        <f>SQRT(AS219*AS226^2/CHIINV(1-(100-AS218)/100/2,AS219))</f>
        <v>0.4102757006955747</v>
      </c>
      <c r="AT228" s="58">
        <f>SQRT(AT219*AT226^2/CHIINV(1-(100-AT218)/100/2,AT219))</f>
        <v>0.629925193680328</v>
      </c>
      <c r="AU228" s="58" t="e">
        <f>SQRT(AU219*AU226^2/CHIINV(1-(100-AU218)/100/2,AU219))</f>
        <v>#DIV/0!</v>
      </c>
    </row>
    <row r="229" spans="7:47" ht="12.75" customHeight="1">
      <c r="G229" s="96"/>
      <c r="H229" s="24"/>
      <c r="I229" s="400"/>
      <c r="J229" s="13" t="s">
        <v>25</v>
      </c>
      <c r="K229" s="56">
        <f>SQRT(K228/K227)</f>
        <v>1.3138187018590248</v>
      </c>
      <c r="L229" s="56">
        <f>SQRT(L228/L227)</f>
        <v>1.3138187018590246</v>
      </c>
      <c r="M229" s="56">
        <f>SQRT(M228/M227)</f>
        <v>1.3138187018590246</v>
      </c>
      <c r="N229" s="56">
        <f>SQRT(N228/N227)</f>
        <v>1.3138187018590246</v>
      </c>
      <c r="O229" s="56" t="e">
        <f>SQRT(O228/O227)</f>
        <v>#DIV/0!</v>
      </c>
      <c r="Y229" s="400"/>
      <c r="Z229" s="13" t="s">
        <v>25</v>
      </c>
      <c r="AA229" s="103">
        <f>SQRT(AA228/AA227)</f>
        <v>1.0061667248254147</v>
      </c>
      <c r="AB229" s="103">
        <f>SQRT(AB228/AB227)</f>
        <v>1.0058536192309213</v>
      </c>
      <c r="AC229" s="103">
        <f>SQRT(AC228/AC227)</f>
        <v>1.0046237146190982</v>
      </c>
      <c r="AD229" s="103">
        <f>SQRT(AD228/AD227)</f>
        <v>1.0066973399312105</v>
      </c>
      <c r="AE229" s="103" t="e">
        <f>SQRT(AE228/AE227)</f>
        <v>#DIV/0!</v>
      </c>
      <c r="AO229" s="400"/>
      <c r="AP229" s="13" t="s">
        <v>25</v>
      </c>
      <c r="AQ229" s="56">
        <f>SQRT(AQ228/AQ227)</f>
        <v>1.3138187018590246</v>
      </c>
      <c r="AR229" s="56">
        <f>SQRT(AR228/AR227)</f>
        <v>1.3138187018590246</v>
      </c>
      <c r="AS229" s="56">
        <f>SQRT(AS228/AS227)</f>
        <v>1.3138187018590246</v>
      </c>
      <c r="AT229" s="56">
        <f>SQRT(AT228/AT227)</f>
        <v>1.3138187018590246</v>
      </c>
      <c r="AU229" s="56" t="e">
        <f>SQRT(AU228/AU227)</f>
        <v>#DIV/0!</v>
      </c>
    </row>
    <row r="230" spans="7:47" ht="12.75" customHeight="1">
      <c r="G230" s="95"/>
      <c r="H230" s="24"/>
      <c r="Y230" s="112" t="s">
        <v>61</v>
      </c>
      <c r="Z230" s="113"/>
      <c r="AA230" s="113"/>
      <c r="AB230" s="113"/>
      <c r="AC230" s="113"/>
      <c r="AD230" s="114"/>
      <c r="AE230" s="114"/>
      <c r="AO230" s="167" t="s">
        <v>64</v>
      </c>
      <c r="AP230" s="168"/>
      <c r="AQ230" s="168"/>
      <c r="AR230" s="168"/>
      <c r="AS230" s="168"/>
      <c r="AT230" s="169"/>
      <c r="AU230" s="169"/>
    </row>
    <row r="231" spans="25:47" ht="12.75" customHeight="1">
      <c r="Y231" s="22"/>
      <c r="Z231" s="31" t="s">
        <v>150</v>
      </c>
      <c r="AA231" s="111">
        <f>AA236/AA195</f>
        <v>0.3732412019646277</v>
      </c>
      <c r="AB231" s="111">
        <f>AB236/AB195</f>
        <v>0.3543456697843929</v>
      </c>
      <c r="AC231" s="111">
        <f>AC236/AC195</f>
        <v>0.28006548634068107</v>
      </c>
      <c r="AD231" s="111">
        <f>AD236/AD195</f>
        <v>0.40524973993582475</v>
      </c>
      <c r="AE231" s="111" t="e">
        <f>AE236/AE195</f>
        <v>#DIV/0!</v>
      </c>
      <c r="AO231" s="170"/>
      <c r="AP231" s="144" t="s">
        <v>153</v>
      </c>
      <c r="AQ231" s="154">
        <f>AQ63/SQRT(2)</f>
        <v>13.022617302671385</v>
      </c>
      <c r="AR231" s="154">
        <f>AR63/SQRT(2)</f>
        <v>11.120254534645861</v>
      </c>
      <c r="AS231" s="154">
        <f>AS63/SQRT(2)</f>
        <v>8.442031521794078</v>
      </c>
      <c r="AT231" s="154">
        <f>AT63/SQRT(2)</f>
        <v>12.961645869852333</v>
      </c>
      <c r="AU231" s="154" t="e">
        <f>AU63/SQRT(2)</f>
        <v>#DIV/0!</v>
      </c>
    </row>
    <row r="232" ht="12.75" customHeight="1"/>
    <row r="233" ht="12.75" customHeight="1"/>
    <row r="234" ht="12.75" customHeight="1"/>
    <row r="235" spans="25:31" ht="12.75" customHeight="1">
      <c r="Y235" s="167" t="s">
        <v>55</v>
      </c>
      <c r="Z235" s="168"/>
      <c r="AA235" s="168"/>
      <c r="AB235" s="168"/>
      <c r="AC235" s="168"/>
      <c r="AD235" s="169"/>
      <c r="AE235" s="169"/>
    </row>
    <row r="236" spans="25:31" ht="12.75" customHeight="1">
      <c r="Y236" s="170"/>
      <c r="Z236" s="144" t="s">
        <v>26</v>
      </c>
      <c r="AA236" s="171">
        <f>AA63/SQRT(2)</f>
        <v>2.132853331429384</v>
      </c>
      <c r="AB236" s="171">
        <f>AB63/SQRT(2)</f>
        <v>2.024876509611185</v>
      </c>
      <c r="AC236" s="171">
        <f>AC63/SQRT(2)</f>
        <v>1.6004090717099404</v>
      </c>
      <c r="AD236" s="171">
        <f>AD63/SQRT(2)</f>
        <v>2.315763247287284</v>
      </c>
      <c r="AE236" s="171" t="e">
        <f>AE63/SQRT(2)</f>
        <v>#DIV/0!</v>
      </c>
    </row>
    <row r="237" spans="25:31" ht="12.75" customHeight="1">
      <c r="Y237" s="440" t="s">
        <v>147</v>
      </c>
      <c r="Z237" s="146" t="s">
        <v>9</v>
      </c>
      <c r="AA237" s="147">
        <f>SQRT(AA219*AA236^2/CHIINV((100-AA218)/100/2,AA219))</f>
        <v>1.6933267044154323</v>
      </c>
      <c r="AB237" s="147">
        <f>SQRT(AB219*AB236^2/CHIINV((100-AB218)/100/2,AB219))</f>
        <v>1.6076011492877722</v>
      </c>
      <c r="AC237" s="147">
        <f>SQRT(AC219*AC236^2/CHIINV((100-AC218)/100/2,AC219))</f>
        <v>1.2706056151076133</v>
      </c>
      <c r="AD237" s="147">
        <f>SQRT(AD219*AD236^2/CHIINV((100-AD218)/100/2,AD219))</f>
        <v>1.8385435556918355</v>
      </c>
      <c r="AE237" s="147" t="e">
        <f>SQRT(AE219*AE236^2/CHIINV((100-AE218)/100/2,AE219))</f>
        <v>#DIV/0!</v>
      </c>
    </row>
    <row r="238" spans="25:31" ht="12.75" customHeight="1">
      <c r="Y238" s="441"/>
      <c r="Z238" s="148" t="s">
        <v>10</v>
      </c>
      <c r="AA238" s="149">
        <f>SQRT(AA219*AA236^2/CHIINV(1-(100-AA218)/100/2,AA219))</f>
        <v>2.922884382122016</v>
      </c>
      <c r="AB238" s="149">
        <f>SQRT(AB219*AB236^2/CHIINV(1-(100-AB218)/100/2,AB219))</f>
        <v>2.774911822793675</v>
      </c>
      <c r="AC238" s="149">
        <f>SQRT(AC219*AC236^2/CHIINV(1-(100-AC218)/100/2,AC219))</f>
        <v>2.1932172324162718</v>
      </c>
      <c r="AD238" s="149">
        <f>SQRT(AD219*AD236^2/CHIINV(1-(100-AD218)/100/2,AD219))</f>
        <v>3.1735460326528644</v>
      </c>
      <c r="AE238" s="149" t="e">
        <f>SQRT(AE219*AE236^2/CHIINV(1-(100-AE218)/100/2,AE219))</f>
        <v>#DIV/0!</v>
      </c>
    </row>
    <row r="239" spans="25:31" ht="12" customHeight="1">
      <c r="Y239" s="442"/>
      <c r="Z239" s="150" t="s">
        <v>103</v>
      </c>
      <c r="AA239" s="153">
        <f>SQRT(AA238/AA237)</f>
        <v>1.3138187018590246</v>
      </c>
      <c r="AB239" s="153">
        <f>SQRT(AB238/AB237)</f>
        <v>1.3138187018590246</v>
      </c>
      <c r="AC239" s="153">
        <f>SQRT(AC238/AC237)</f>
        <v>1.3138187018590246</v>
      </c>
      <c r="AD239" s="153">
        <f>SQRT(AD238/AD237)</f>
        <v>1.3138187018590244</v>
      </c>
      <c r="AE239" s="153" t="e">
        <f>SQRT(AE238/AE237)</f>
        <v>#DIV/0!</v>
      </c>
    </row>
    <row r="240" ht="12.75" customHeight="1"/>
    <row r="241" spans="18:47" ht="12.75">
      <c r="R241" s="118" t="s">
        <v>5</v>
      </c>
      <c r="U241" s="116" t="str">
        <f>CONCATENATE($B$73,"-",$B$42," difference")</f>
        <v>Exptal-Control difference</v>
      </c>
      <c r="V241" s="116"/>
      <c r="Y241" s="118" t="s">
        <v>5</v>
      </c>
      <c r="AA241" s="116" t="str">
        <f>CONCATENATE($B$73,"-",$B$42," difference")</f>
        <v>Exptal-Control difference</v>
      </c>
      <c r="AH241" s="116" t="s">
        <v>102</v>
      </c>
      <c r="AI241" s="118"/>
      <c r="AK241" s="116" t="str">
        <f>CONCATENATE($B$73,"-",$B$42," difference")</f>
        <v>Exptal-Control difference</v>
      </c>
      <c r="AL241" s="116"/>
      <c r="AM241" s="118"/>
      <c r="AN241" s="118"/>
      <c r="AO241" s="116" t="s">
        <v>102</v>
      </c>
      <c r="AP241" s="118"/>
      <c r="AQ241" s="116" t="str">
        <f>CONCATENATE($B$73,"-",$B$42," difference")</f>
        <v>Exptal-Control difference</v>
      </c>
      <c r="AR241" s="118"/>
      <c r="AS241" s="118"/>
      <c r="AT241" s="118"/>
      <c r="AU241" s="118"/>
    </row>
    <row r="242" spans="18:47" ht="25.5" customHeight="1">
      <c r="R242" s="410" t="s">
        <v>66</v>
      </c>
      <c r="S242" s="411"/>
      <c r="T242" s="197"/>
      <c r="U242" s="135" t="str">
        <f>U41</f>
        <v>Pre1</v>
      </c>
      <c r="V242" s="135" t="str">
        <f>V41</f>
        <v>Pre2</v>
      </c>
      <c r="W242" s="118"/>
      <c r="X242" s="118"/>
      <c r="Y242" s="136" t="s">
        <v>19</v>
      </c>
      <c r="Z242" s="137"/>
      <c r="AA242" s="135" t="str">
        <f>AA41</f>
        <v>Pre2-Pre1</v>
      </c>
      <c r="AB242" s="135" t="str">
        <f>AB41</f>
        <v>Post1-Pre2</v>
      </c>
      <c r="AC242" s="135" t="str">
        <f>AC41</f>
        <v>Post2-Pre2</v>
      </c>
      <c r="AD242" s="135" t="str">
        <f>AD41</f>
        <v>Post2-Post1</v>
      </c>
      <c r="AE242" s="135" t="str">
        <f>AE41</f>
        <v>other effect</v>
      </c>
      <c r="AH242" s="410" t="s">
        <v>67</v>
      </c>
      <c r="AI242" s="411"/>
      <c r="AJ242" s="197"/>
      <c r="AK242" s="135" t="str">
        <f>AK41</f>
        <v>Pre1</v>
      </c>
      <c r="AL242" s="135" t="str">
        <f>AL41</f>
        <v>Pre2</v>
      </c>
      <c r="AM242" s="118"/>
      <c r="AN242" s="118"/>
      <c r="AO242" s="138" t="s">
        <v>20</v>
      </c>
      <c r="AP242" s="139"/>
      <c r="AQ242" s="135" t="str">
        <f>AQ41</f>
        <v>Pre2-Pre1</v>
      </c>
      <c r="AR242" s="135" t="str">
        <f>AR41</f>
        <v>Post1-Pre2</v>
      </c>
      <c r="AS242" s="135" t="str">
        <f>AS41</f>
        <v>Post2-Pre2</v>
      </c>
      <c r="AT242" s="135" t="str">
        <f>AT41</f>
        <v>Post2-Post1</v>
      </c>
      <c r="AU242" s="135" t="str">
        <f>AU41</f>
        <v>other effect</v>
      </c>
    </row>
    <row r="243" spans="18:47" s="349" customFormat="1" ht="12.75">
      <c r="R243" s="346"/>
      <c r="S243" s="347" t="s">
        <v>142</v>
      </c>
      <c r="T243" s="347"/>
      <c r="U243" s="348">
        <f>$E$35</f>
        <v>90</v>
      </c>
      <c r="V243" s="348">
        <f>$E$35</f>
        <v>90</v>
      </c>
      <c r="Y243" s="350"/>
      <c r="Z243" s="347" t="s">
        <v>142</v>
      </c>
      <c r="AA243" s="348">
        <f>$E$35</f>
        <v>90</v>
      </c>
      <c r="AB243" s="348">
        <f>$E$35</f>
        <v>90</v>
      </c>
      <c r="AC243" s="348">
        <f>$E$35</f>
        <v>90</v>
      </c>
      <c r="AD243" s="348">
        <f>$E$35</f>
        <v>90</v>
      </c>
      <c r="AE243" s="348">
        <f>$E$35</f>
        <v>90</v>
      </c>
      <c r="AH243" s="350"/>
      <c r="AI243" s="347" t="s">
        <v>142</v>
      </c>
      <c r="AJ243" s="353"/>
      <c r="AK243" s="348">
        <f>$E$35</f>
        <v>90</v>
      </c>
      <c r="AL243" s="348">
        <f>$E$35</f>
        <v>90</v>
      </c>
      <c r="AO243" s="350"/>
      <c r="AP243" s="347" t="s">
        <v>142</v>
      </c>
      <c r="AQ243" s="348">
        <f>$E$35</f>
        <v>90</v>
      </c>
      <c r="AR243" s="348">
        <f>$E$35</f>
        <v>90</v>
      </c>
      <c r="AS243" s="348">
        <f>$E$35</f>
        <v>90</v>
      </c>
      <c r="AT243" s="348">
        <f>$E$35</f>
        <v>90</v>
      </c>
      <c r="AU243" s="348">
        <f>$E$35</f>
        <v>90</v>
      </c>
    </row>
    <row r="244" spans="18:47" ht="12.75">
      <c r="R244" s="140"/>
      <c r="S244" s="141" t="s">
        <v>141</v>
      </c>
      <c r="T244" s="141"/>
      <c r="U244" s="142">
        <f>U122</f>
        <v>37.99977430695131</v>
      </c>
      <c r="V244" s="142">
        <f>V122</f>
        <v>37.606313604722494</v>
      </c>
      <c r="W244" s="118"/>
      <c r="X244" s="118"/>
      <c r="Y244" s="140"/>
      <c r="Z244" s="141" t="s">
        <v>141</v>
      </c>
      <c r="AA244" s="143">
        <f>AA122</f>
        <v>37.07934305852209</v>
      </c>
      <c r="AB244" s="142">
        <f>AB122</f>
        <v>35.81343177081094</v>
      </c>
      <c r="AC244" s="142">
        <f>AC122</f>
        <v>27.923429077369057</v>
      </c>
      <c r="AD244" s="142">
        <f>AD122</f>
        <v>35.673927338573336</v>
      </c>
      <c r="AE244" s="142" t="e">
        <f>AE122</f>
        <v>#DIV/0!</v>
      </c>
      <c r="AH244" s="140"/>
      <c r="AI244" s="141" t="s">
        <v>141</v>
      </c>
      <c r="AJ244" s="144"/>
      <c r="AK244" s="142">
        <f>AK122</f>
        <v>36.104930871492016</v>
      </c>
      <c r="AL244" s="142">
        <f>AL122</f>
        <v>37.79355930033655</v>
      </c>
      <c r="AM244" s="118"/>
      <c r="AN244" s="118"/>
      <c r="AO244" s="140"/>
      <c r="AP244" s="141" t="s">
        <v>141</v>
      </c>
      <c r="AQ244" s="143">
        <f>AQ122</f>
        <v>37.81475814994696</v>
      </c>
      <c r="AR244" s="143">
        <f>AR122</f>
        <v>35.524762894003075</v>
      </c>
      <c r="AS244" s="143">
        <f>AS122</f>
        <v>28.56568413157734</v>
      </c>
      <c r="AT244" s="143">
        <f>AT122</f>
        <v>36.55974852738329</v>
      </c>
      <c r="AU244" s="143" t="e">
        <f>AU122</f>
        <v>#DIV/0!</v>
      </c>
    </row>
    <row r="245" spans="18:47" ht="12.75">
      <c r="R245" s="140"/>
      <c r="S245" s="144" t="s">
        <v>140</v>
      </c>
      <c r="T245" s="144"/>
      <c r="U245" s="145">
        <f>U117</f>
        <v>-3.59963532878362</v>
      </c>
      <c r="V245" s="145">
        <f>V117</f>
        <v>-2.0420014601447747</v>
      </c>
      <c r="W245" s="118"/>
      <c r="X245" s="118"/>
      <c r="Y245" s="140"/>
      <c r="Z245" s="144" t="s">
        <v>140</v>
      </c>
      <c r="AA245" s="145">
        <f>AA117</f>
        <v>1.5576338686389022</v>
      </c>
      <c r="AB245" s="145">
        <f>AB117</f>
        <v>1.6787950141945882</v>
      </c>
      <c r="AC245" s="145">
        <f>AC117</f>
        <v>1.0466102760652405</v>
      </c>
      <c r="AD245" s="145">
        <f>AD117</f>
        <v>-0.632184738129348</v>
      </c>
      <c r="AE245" s="145" t="e">
        <f>AE117</f>
        <v>#DIV/0!</v>
      </c>
      <c r="AH245" s="140"/>
      <c r="AI245" s="144" t="s">
        <v>140</v>
      </c>
      <c r="AJ245" s="144"/>
      <c r="AK245" s="145">
        <f>AK117</f>
        <v>-17.89308176100629</v>
      </c>
      <c r="AL245" s="145">
        <f>AL117</f>
        <v>-9.27672955974841</v>
      </c>
      <c r="AM245" s="118"/>
      <c r="AN245" s="118"/>
      <c r="AO245" s="140"/>
      <c r="AP245" s="144" t="s">
        <v>140</v>
      </c>
      <c r="AQ245" s="145">
        <f>AQ117</f>
        <v>8.61635220125786</v>
      </c>
      <c r="AR245" s="145">
        <f>AR117</f>
        <v>6.22641509433962</v>
      </c>
      <c r="AS245" s="145">
        <f>AS117</f>
        <v>3.522012578616352</v>
      </c>
      <c r="AT245" s="145">
        <f>AT117</f>
        <v>-2.7044025157232694</v>
      </c>
      <c r="AU245" s="145" t="e">
        <f>AU117</f>
        <v>#DIV/0!</v>
      </c>
    </row>
    <row r="246" spans="18:47" ht="12.75" customHeight="1">
      <c r="R246" s="407" t="s">
        <v>147</v>
      </c>
      <c r="S246" s="146" t="s">
        <v>9</v>
      </c>
      <c r="T246" s="146"/>
      <c r="U246" s="147">
        <f>U245-TINV((100-U243)/100,U244)*U123</f>
        <v>-6.501178819098138</v>
      </c>
      <c r="V246" s="147">
        <f>V245-TINV((100-V243)/100,V244)*V123</f>
        <v>-4.9822055699559655</v>
      </c>
      <c r="W246" s="118"/>
      <c r="X246" s="118"/>
      <c r="Y246" s="407" t="s">
        <v>147</v>
      </c>
      <c r="Z246" s="146" t="s">
        <v>9</v>
      </c>
      <c r="AA246" s="147">
        <f>AA245-TINV((100-AA243)/100,AA244)*AA$123</f>
        <v>-0.19563748168285877</v>
      </c>
      <c r="AB246" s="147">
        <f>AB245-TINV((100-AB243)/100,AB244)*AB123</f>
        <v>-0.08447727746607092</v>
      </c>
      <c r="AC246" s="147">
        <f>AC245-TINV((100-AC243)/100,AC244)*AC123</f>
        <v>-0.8826701656350942</v>
      </c>
      <c r="AD246" s="147">
        <f>AD245-TINV((100-AD243)/100,AD244)*AD123</f>
        <v>-2.6599138359221164</v>
      </c>
      <c r="AE246" s="147" t="e">
        <f>AE245-TINV((100-AE243)/100,AE244)*AE123</f>
        <v>#DIV/0!</v>
      </c>
      <c r="AH246" s="407" t="s">
        <v>147</v>
      </c>
      <c r="AI246" s="146" t="s">
        <v>9</v>
      </c>
      <c r="AJ246" s="198"/>
      <c r="AK246" s="147">
        <f>AK245-TINV((100-AK243)/100,AK244)*AK$123</f>
        <v>-32.21981230605783</v>
      </c>
      <c r="AL246" s="147">
        <f>AL245-TINV((100-AL243)/100,AL244)*AL$123</f>
        <v>-23.814703169300756</v>
      </c>
      <c r="AM246" s="118"/>
      <c r="AN246" s="118"/>
      <c r="AO246" s="407" t="s">
        <v>147</v>
      </c>
      <c r="AP246" s="146" t="s">
        <v>9</v>
      </c>
      <c r="AQ246" s="147">
        <f>AQ245-TINV((100-AQ243)/100,AQ244)*AQ$123</f>
        <v>-1.5721128189862004</v>
      </c>
      <c r="AR246" s="147">
        <f>AR245-TINV((100-AR243)/100,AR244)*AR$123</f>
        <v>-3.5675077831627995</v>
      </c>
      <c r="AS246" s="147">
        <f>AS245-TINV((100-AS243)/100,AS244)*AS$123</f>
        <v>-6.325950382737952</v>
      </c>
      <c r="AT246" s="147">
        <f>AT245-TINV((100-AT243)/100,AT244)*AT$123</f>
        <v>-13.635583903487323</v>
      </c>
      <c r="AU246" s="147" t="e">
        <f>AU245-TINV((100-AU243)/100,AU244)*AU$123</f>
        <v>#DIV/0!</v>
      </c>
    </row>
    <row r="247" spans="18:47" ht="12.75">
      <c r="R247" s="408"/>
      <c r="S247" s="148" t="s">
        <v>10</v>
      </c>
      <c r="T247" s="148"/>
      <c r="U247" s="149">
        <f>U245+TINV((100-U243)/100,U244)*U123</f>
        <v>-0.6980918384691019</v>
      </c>
      <c r="V247" s="149">
        <f>V245+TINV((100-V243)/100,V244)*V123</f>
        <v>0.8982026496664166</v>
      </c>
      <c r="W247" s="118"/>
      <c r="X247" s="118"/>
      <c r="Y247" s="408"/>
      <c r="Z247" s="148" t="s">
        <v>10</v>
      </c>
      <c r="AA247" s="149">
        <f>AA245+TINV((100-AA243)/100,AA244)*AA$123</f>
        <v>3.310905218960663</v>
      </c>
      <c r="AB247" s="149">
        <f>AB245+TINV((100-AB243)/100,AB244)*AB123</f>
        <v>3.4420673058552476</v>
      </c>
      <c r="AC247" s="149">
        <f>AC245+TINV((100-AC243)/100,AC244)*AC123</f>
        <v>2.975890717765575</v>
      </c>
      <c r="AD247" s="149">
        <f>AD245+TINV((100-AD243)/100,AD244)*AD123</f>
        <v>1.3955443596634205</v>
      </c>
      <c r="AE247" s="149" t="e">
        <f>AE245+TINV((100-AE243)/100,AE244)*AE123</f>
        <v>#DIV/0!</v>
      </c>
      <c r="AH247" s="408"/>
      <c r="AI247" s="148" t="s">
        <v>10</v>
      </c>
      <c r="AJ247" s="199"/>
      <c r="AK247" s="149">
        <f>AK245+TINV((100-AK243)/100,AK244)*AK$123</f>
        <v>-3.5663512159547466</v>
      </c>
      <c r="AL247" s="149">
        <f>AL245+TINV((100-AL243)/100,AL244)*AL$123</f>
        <v>5.261244049803937</v>
      </c>
      <c r="AM247" s="118"/>
      <c r="AN247" s="118"/>
      <c r="AO247" s="408"/>
      <c r="AP247" s="148" t="s">
        <v>10</v>
      </c>
      <c r="AQ247" s="149">
        <f>AQ245+TINV((100-AQ243)/100,AQ244)*AQ$123</f>
        <v>18.80481722150192</v>
      </c>
      <c r="AR247" s="149">
        <f>AR245+TINV((100-AR243)/100,AR244)*AR$123</f>
        <v>16.02033797184204</v>
      </c>
      <c r="AS247" s="149">
        <f>AS245+TINV((100-AS243)/100,AS244)*AS$123</f>
        <v>13.369975539970655</v>
      </c>
      <c r="AT247" s="149">
        <f>AT245+TINV((100-AT243)/100,AT244)*AT$123</f>
        <v>8.226778872040786</v>
      </c>
      <c r="AU247" s="149" t="e">
        <f>AU245+TINV((100-AU243)/100,AU244)*AU$123</f>
        <v>#DIV/0!</v>
      </c>
    </row>
    <row r="248" spans="18:47" ht="12.75">
      <c r="R248" s="409"/>
      <c r="S248" s="150" t="s">
        <v>11</v>
      </c>
      <c r="T248" s="150"/>
      <c r="U248" s="151">
        <f>(U247-U246)/2</f>
        <v>2.901543490314518</v>
      </c>
      <c r="V248" s="151">
        <f>(V247-V246)/2</f>
        <v>2.940204109811191</v>
      </c>
      <c r="W248" s="118"/>
      <c r="X248" s="118"/>
      <c r="Y248" s="409"/>
      <c r="Z248" s="150" t="s">
        <v>11</v>
      </c>
      <c r="AA248" s="151">
        <f>(AA247-AA246)/2</f>
        <v>1.7532713503217607</v>
      </c>
      <c r="AB248" s="151">
        <f>(AB247-AB246)/2</f>
        <v>1.7632722916606594</v>
      </c>
      <c r="AC248" s="151">
        <f>(AC247-AC246)/2</f>
        <v>1.9292804417003346</v>
      </c>
      <c r="AD248" s="151">
        <f>(AD247-AD246)/2</f>
        <v>2.0277290977927684</v>
      </c>
      <c r="AE248" s="151" t="e">
        <f>(AE247-AE246)/2</f>
        <v>#DIV/0!</v>
      </c>
      <c r="AH248" s="409"/>
      <c r="AI248" s="150" t="s">
        <v>11</v>
      </c>
      <c r="AJ248" s="200"/>
      <c r="AK248" s="151">
        <f>(AK247-AK246)/2</f>
        <v>14.326730545051543</v>
      </c>
      <c r="AL248" s="151">
        <f>(AL247-AL246)/2</f>
        <v>14.537973609552346</v>
      </c>
      <c r="AM248" s="118"/>
      <c r="AN248" s="118"/>
      <c r="AO248" s="409"/>
      <c r="AP248" s="150" t="s">
        <v>11</v>
      </c>
      <c r="AQ248" s="151">
        <f>(AQ247-AQ246)/2</f>
        <v>10.18846502024406</v>
      </c>
      <c r="AR248" s="151">
        <f>(AR247-AR246)/2</f>
        <v>9.79392287750242</v>
      </c>
      <c r="AS248" s="151">
        <f>(AS247-AS246)/2</f>
        <v>9.847962961354304</v>
      </c>
      <c r="AT248" s="151">
        <f>(AT247-AT246)/2</f>
        <v>10.931181387764054</v>
      </c>
      <c r="AU248" s="151" t="e">
        <f>(AU247-AU246)/2</f>
        <v>#DIV/0!</v>
      </c>
    </row>
    <row r="249" spans="18:47" ht="12.75" customHeight="1">
      <c r="R249" s="396" t="s">
        <v>139</v>
      </c>
      <c r="S249" s="152" t="s">
        <v>13</v>
      </c>
      <c r="T249" s="152"/>
      <c r="U249" s="153" t="e">
        <f>U183*U195</f>
        <v>#VALUE!</v>
      </c>
      <c r="V249" s="153" t="e">
        <f>V183*V195</f>
        <v>#VALUE!</v>
      </c>
      <c r="W249" s="118"/>
      <c r="X249" s="118"/>
      <c r="Y249" s="396" t="s">
        <v>139</v>
      </c>
      <c r="Z249" s="152" t="s">
        <v>13</v>
      </c>
      <c r="AA249" s="153" t="e">
        <f>AA183*AA195</f>
        <v>#VALUE!</v>
      </c>
      <c r="AB249" s="153" t="e">
        <f>AB183*AB195</f>
        <v>#VALUE!</v>
      </c>
      <c r="AC249" s="153" t="e">
        <f>AC183*AC195</f>
        <v>#VALUE!</v>
      </c>
      <c r="AD249" s="153" t="e">
        <f>AD183*AD195</f>
        <v>#VALUE!</v>
      </c>
      <c r="AE249" s="153" t="e">
        <f>AE183*AE195</f>
        <v>#VALUE!</v>
      </c>
      <c r="AH249" s="396" t="s">
        <v>139</v>
      </c>
      <c r="AI249" s="152" t="s">
        <v>13</v>
      </c>
      <c r="AJ249" s="152"/>
      <c r="AK249" s="154" t="e">
        <f>AK183*AK195</f>
        <v>#VALUE!</v>
      </c>
      <c r="AL249" s="154" t="e">
        <f>AL183*AL195</f>
        <v>#VALUE!</v>
      </c>
      <c r="AM249" s="118"/>
      <c r="AN249" s="118"/>
      <c r="AO249" s="396" t="s">
        <v>139</v>
      </c>
      <c r="AP249" s="152" t="s">
        <v>13</v>
      </c>
      <c r="AQ249" s="154" t="e">
        <f>AQ183*AQ195</f>
        <v>#VALUE!</v>
      </c>
      <c r="AR249" s="154" t="e">
        <f>AR183*AR195</f>
        <v>#VALUE!</v>
      </c>
      <c r="AS249" s="154" t="e">
        <f>AS183*AS195</f>
        <v>#VALUE!</v>
      </c>
      <c r="AT249" s="154" t="e">
        <f>AT183*AT195</f>
        <v>#VALUE!</v>
      </c>
      <c r="AU249" s="154" t="e">
        <f>AU183*AU195</f>
        <v>#VALUE!</v>
      </c>
    </row>
    <row r="250" spans="18:47" ht="12.75">
      <c r="R250" s="397"/>
      <c r="S250" s="155" t="s">
        <v>14</v>
      </c>
      <c r="T250" s="155"/>
      <c r="U250" s="153" t="e">
        <f>U184*U195</f>
        <v>#VALUE!</v>
      </c>
      <c r="V250" s="153" t="e">
        <f>V184*V195</f>
        <v>#VALUE!</v>
      </c>
      <c r="W250" s="118"/>
      <c r="X250" s="118"/>
      <c r="Y250" s="397"/>
      <c r="Z250" s="155" t="s">
        <v>14</v>
      </c>
      <c r="AA250" s="153" t="e">
        <f>AA184*AA195</f>
        <v>#VALUE!</v>
      </c>
      <c r="AB250" s="153" t="e">
        <f>AB184*AB195</f>
        <v>#VALUE!</v>
      </c>
      <c r="AC250" s="153" t="e">
        <f>AC184*AC195</f>
        <v>#VALUE!</v>
      </c>
      <c r="AD250" s="153" t="e">
        <f>AD184*AD195</f>
        <v>#VALUE!</v>
      </c>
      <c r="AE250" s="153" t="e">
        <f>AE184*AE195</f>
        <v>#VALUE!</v>
      </c>
      <c r="AH250" s="397"/>
      <c r="AI250" s="155" t="s">
        <v>14</v>
      </c>
      <c r="AJ250" s="155"/>
      <c r="AK250" s="154" t="e">
        <f>AK184*AK195</f>
        <v>#VALUE!</v>
      </c>
      <c r="AL250" s="154" t="e">
        <f>AL184*AL195</f>
        <v>#VALUE!</v>
      </c>
      <c r="AM250" s="118"/>
      <c r="AN250" s="118"/>
      <c r="AO250" s="397"/>
      <c r="AP250" s="155" t="s">
        <v>14</v>
      </c>
      <c r="AQ250" s="154" t="e">
        <f>AQ184*AQ195</f>
        <v>#VALUE!</v>
      </c>
      <c r="AR250" s="154" t="e">
        <f>AR184*AR195</f>
        <v>#VALUE!</v>
      </c>
      <c r="AS250" s="154" t="e">
        <f>AS184*AS195</f>
        <v>#VALUE!</v>
      </c>
      <c r="AT250" s="154" t="e">
        <f>AT184*AT195</f>
        <v>#VALUE!</v>
      </c>
      <c r="AU250" s="154" t="e">
        <f>AU184*AU195</f>
        <v>#VALUE!</v>
      </c>
    </row>
    <row r="251" spans="18:47" ht="12.75" customHeight="1">
      <c r="R251" s="404" t="s">
        <v>15</v>
      </c>
      <c r="S251" s="375" t="s">
        <v>13</v>
      </c>
      <c r="T251" s="156"/>
      <c r="U251" s="157" t="e">
        <f>IF(ISERROR(TDIST((U249-U245)/U123,U244,1)),1-TDIST((U245-U249)/U123,U244,1),TDIST((U249-U245)/U123,U244,1))*100</f>
        <v>#VALUE!</v>
      </c>
      <c r="V251" s="157" t="e">
        <f>IF(ISERROR(TDIST((V249-V245)/V123,V244,1)),1-TDIST((V245-V249)/V123,V244,1),TDIST((V249-V245)/V123,V244,1))*100</f>
        <v>#VALUE!</v>
      </c>
      <c r="W251" s="118"/>
      <c r="X251" s="118"/>
      <c r="Y251" s="404" t="s">
        <v>15</v>
      </c>
      <c r="Z251" s="375" t="s">
        <v>13</v>
      </c>
      <c r="AA251" s="157" t="e">
        <f>IF(ISERROR(TDIST((AA249-AA$117)/AA$123,AA244,1)),1-TDIST((AA$117-AA249)/AA$123,AA244,1),TDIST((AA249-AA$117)/AA$123,AA244,1))*100</f>
        <v>#VALUE!</v>
      </c>
      <c r="AB251" s="157" t="e">
        <f>IF(ISERROR(TDIST((AB249-AB$117)/AB$123,AB244,1)),1-TDIST((AB$117-AB249)/AB$123,AB244,1),TDIST((AB249-AB$117)/AB$123,AB244,1))*100</f>
        <v>#VALUE!</v>
      </c>
      <c r="AC251" s="157" t="e">
        <f>IF(ISERROR(TDIST((AC249-AC$117)/AC$123,AC244,1)),1-TDIST((AC$117-AC249)/AC$123,AC244,1),TDIST((AC249-AC$117)/AC$123,AC244,1))*100</f>
        <v>#VALUE!</v>
      </c>
      <c r="AD251" s="157" t="e">
        <f>IF(ISERROR(TDIST((AD249-AD$117)/AD$123,AD244,1)),1-TDIST((AD$117-AD249)/AD$123,AD244,1),TDIST((AD249-AD$117)/AD$123,AD244,1))*100</f>
        <v>#VALUE!</v>
      </c>
      <c r="AE251" s="157" t="e">
        <f>IF(ISERROR(TDIST((AE249-AE245)/AE123,AE244,1)),1-TDIST((AE245-AE249)/AE123,AE244,1),TDIST((AE249-AE245)/AE123,AE244,1))*100</f>
        <v>#DIV/0!</v>
      </c>
      <c r="AH251" s="404" t="s">
        <v>15</v>
      </c>
      <c r="AI251" s="375" t="s">
        <v>13</v>
      </c>
      <c r="AJ251" s="201"/>
      <c r="AK251" s="157" t="e">
        <f>IF(ISERROR(TDIST((AK249-AK245)/ABS(AK245)*TINV(#REF!,AK244),AK244,1)),1-TDIST((AK245-AK249)/ABS(AK245)*TINV(#REF!,AK244),AK244,1),TDIST((AK249-AK245)/ABS(AK245)*TINV(#REF!,AK244),AK244,1))*100</f>
        <v>#VALUE!</v>
      </c>
      <c r="AL251" s="157" t="e">
        <f>IF(ISERROR(TDIST((AL249-AL245)/ABS(AL245)*TINV(#REF!,AL244),AL244,1)),1-TDIST((AL245-AL249)/ABS(AL245)*TINV(#REF!,AL244),AL244,1),TDIST((AL249-AL245)/ABS(AL245)*TINV(#REF!,AL244),AL244,1))*100</f>
        <v>#VALUE!</v>
      </c>
      <c r="AM251" s="118"/>
      <c r="AN251" s="118"/>
      <c r="AO251" s="404" t="s">
        <v>15</v>
      </c>
      <c r="AP251" s="375" t="s">
        <v>13</v>
      </c>
      <c r="AQ251" s="157" t="e">
        <f>IF(ISERROR(TDIST((AQ249-AQ$117)/AQ$123,AQ244,1)),1-TDIST((AQ$117-AQ249)/AQ$123,AQ244,1),TDIST((AQ249-AQ$117)/AQ$123,AQ244,1))*100</f>
        <v>#VALUE!</v>
      </c>
      <c r="AR251" s="157" t="e">
        <f>IF(ISERROR(TDIST((AR249-AR$117)/AR$123,AR244,1)),1-TDIST((AR$117-AR249)/AR$123,AR244,1),TDIST((AR249-AR$117)/AR$123,AR244,1))*100</f>
        <v>#VALUE!</v>
      </c>
      <c r="AS251" s="157" t="e">
        <f>IF(ISERROR(TDIST((AS249-AS$117)/AS$123,AS244,1)),1-TDIST((AS$117-AS249)/AS$123,AS244,1),TDIST((AS249-AS$117)/AS$123,AS244,1))*100</f>
        <v>#VALUE!</v>
      </c>
      <c r="AT251" s="157" t="e">
        <f>IF(ISERROR(TDIST((AT249-AT$117)/AT$123,AT244,1)),1-TDIST((AT$117-AT249)/AT$123,AT244,1),TDIST((AT249-AT$117)/AT$123,AT244,1))*100</f>
        <v>#VALUE!</v>
      </c>
      <c r="AU251" s="157" t="e">
        <f>IF(ISERROR(TDIST((AU249-AU$117)/AU$123,AU244,1)),1-TDIST((AU$117-AU249)/AU$123,AU244,1),TDIST((AU249-AU$117)/AU$123,AU244,1))*100</f>
        <v>#DIV/0!</v>
      </c>
    </row>
    <row r="252" spans="18:47" ht="12.75">
      <c r="R252" s="405"/>
      <c r="S252" s="394"/>
      <c r="T252" s="158"/>
      <c r="U252" s="159" t="e">
        <f>IF(U251&lt;0.5,"almost certainly not",IF(U251&lt;5,"very unlikely",IF(U251&lt;25,"unlikely, probably not",IF(U251&lt;75,"possibly, may (not)",IF(U251&lt;95,"likely, probable",IF(U251&lt;99.5,"very likely","almost certainly"))))))</f>
        <v>#VALUE!</v>
      </c>
      <c r="V252" s="159" t="e">
        <f>IF(V251&lt;0.5,"almost certainly not",IF(V251&lt;5,"very unlikely",IF(V251&lt;25,"unlikely, probably not",IF(V251&lt;75,"possibly, may (not)",IF(V251&lt;95,"likely, probable",IF(V251&lt;99.5,"very likely","almost certainly"))))))</f>
        <v>#VALUE!</v>
      </c>
      <c r="W252" s="118"/>
      <c r="X252" s="118"/>
      <c r="Y252" s="405"/>
      <c r="Z252" s="394"/>
      <c r="AA252" s="159" t="e">
        <f>IF(AA251&lt;0.5,"almost certainly not",IF(AA251&lt;5,"very unlikely",IF(AA251&lt;25,"unlikely, probably not",IF(AA251&lt;75,"possibly, may (not)",IF(AA251&lt;95,"likely, probable",IF(AA251&lt;99.5,"very likely","almost certainly"))))))</f>
        <v>#VALUE!</v>
      </c>
      <c r="AB252" s="159" t="e">
        <f>IF(AB251&lt;0.5,"almost certainly not",IF(AB251&lt;5,"very unlikely",IF(AB251&lt;25,"unlikely, probably not",IF(AB251&lt;75,"possibly, may (not)",IF(AB251&lt;95,"likely, probable",IF(AB251&lt;99.5,"very likely","almost certainly"))))))</f>
        <v>#VALUE!</v>
      </c>
      <c r="AC252" s="159" t="e">
        <f>IF(AC251&lt;0.5,"almost certainly not",IF(AC251&lt;5,"very unlikely",IF(AC251&lt;25,"unlikely, probably not",IF(AC251&lt;75,"possibly, may (not)",IF(AC251&lt;95,"likely, probable",IF(AC251&lt;99.5,"very likely","almost certainly"))))))</f>
        <v>#VALUE!</v>
      </c>
      <c r="AD252" s="159" t="e">
        <f>IF(AD251&lt;0.5,"almost certainly not",IF(AD251&lt;5,"very unlikely",IF(AD251&lt;25,"unlikely, probably not",IF(AD251&lt;75,"possibly, may (not)",IF(AD251&lt;95,"likely, probable",IF(AD251&lt;99.5,"very likely","almost certainly"))))))</f>
        <v>#VALUE!</v>
      </c>
      <c r="AE252" s="159" t="e">
        <f>IF(AE251&lt;0.5,"almost certainly not",IF(AE251&lt;5,"very unlikely",IF(AE251&lt;25,"unlikely, probably not",IF(AE251&lt;75,"possibly, may (not)",IF(AE251&lt;95,"likely, probable",IF(AE251&lt;99.5,"very likely","almost certainly"))))))</f>
        <v>#DIV/0!</v>
      </c>
      <c r="AH252" s="405"/>
      <c r="AI252" s="394"/>
      <c r="AJ252" s="202"/>
      <c r="AK252" s="159" t="e">
        <f>IF(AK251&lt;0.5,"almost certainly not",IF(AK251&lt;5,"very unlikely",IF(AK251&lt;25,"unlikely, probably not",IF(AK251&lt;75,"possibly, may (not)",IF(AK251&lt;95,"likely, probable",IF(AK251&lt;99.5,"very likely","almost certainly"))))))</f>
        <v>#VALUE!</v>
      </c>
      <c r="AL252" s="159" t="e">
        <f>IF(AL251&lt;0.5,"almost certainly not",IF(AL251&lt;5,"very unlikely",IF(AL251&lt;25,"unlikely, probably not",IF(AL251&lt;75,"possibly, may (not)",IF(AL251&lt;95,"likely, probable",IF(AL251&lt;99.5,"very likely","almost certainly"))))))</f>
        <v>#VALUE!</v>
      </c>
      <c r="AM252" s="118"/>
      <c r="AN252" s="118"/>
      <c r="AO252" s="405"/>
      <c r="AP252" s="394"/>
      <c r="AQ252" s="159" t="e">
        <f>IF(AQ251&lt;0.5,"almost certainly not",IF(AQ251&lt;5,"very unlikely",IF(AQ251&lt;25,"unlikely, probably not",IF(AQ251&lt;75,"possibly, may (not)",IF(AQ251&lt;95,"likely, probable",IF(AQ251&lt;99.5,"very likely","almost certainly"))))))</f>
        <v>#VALUE!</v>
      </c>
      <c r="AR252" s="159" t="e">
        <f>IF(AR251&lt;0.5,"almost certainly not",IF(AR251&lt;5,"very unlikely",IF(AR251&lt;25,"unlikely, probably not",IF(AR251&lt;75,"possibly, may (not)",IF(AR251&lt;95,"likely, probable",IF(AR251&lt;99.5,"very likely","almost certainly"))))))</f>
        <v>#VALUE!</v>
      </c>
      <c r="AS252" s="159" t="e">
        <f>IF(AS251&lt;0.5,"almost certainly not",IF(AS251&lt;5,"very unlikely",IF(AS251&lt;25,"unlikely, probably not",IF(AS251&lt;75,"possibly, may (not)",IF(AS251&lt;95,"likely, probable",IF(AS251&lt;99.5,"very likely","almost certainly"))))))</f>
        <v>#VALUE!</v>
      </c>
      <c r="AT252" s="159" t="e">
        <f>IF(AT251&lt;0.5,"almost certainly not",IF(AT251&lt;5,"very unlikely",IF(AT251&lt;25,"unlikely, probably not",IF(AT251&lt;75,"possibly, may (not)",IF(AT251&lt;95,"likely, probable",IF(AT251&lt;99.5,"very likely","almost certainly"))))))</f>
        <v>#VALUE!</v>
      </c>
      <c r="AU252" s="159" t="e">
        <f>IF(AU251&lt;0.5,"almost certainly not",IF(AU251&lt;5,"very unlikely",IF(AU251&lt;25,"unlikely, probably not",IF(AU251&lt;75,"possibly, may (not)",IF(AU251&lt;95,"likely, probable",IF(AU251&lt;99.5,"very likely","almost certainly"))))))</f>
        <v>#DIV/0!</v>
      </c>
    </row>
    <row r="253" spans="18:47" ht="12.75">
      <c r="R253" s="405"/>
      <c r="S253" s="395" t="s">
        <v>12</v>
      </c>
      <c r="T253" s="160"/>
      <c r="U253" s="157" t="e">
        <f>100-U251-U255</f>
        <v>#VALUE!</v>
      </c>
      <c r="V253" s="157" t="e">
        <f>100-V251-V255</f>
        <v>#VALUE!</v>
      </c>
      <c r="W253" s="118"/>
      <c r="X253" s="118"/>
      <c r="Y253" s="405"/>
      <c r="Z253" s="395" t="s">
        <v>12</v>
      </c>
      <c r="AA253" s="157" t="e">
        <f>100-AA251-AA255</f>
        <v>#VALUE!</v>
      </c>
      <c r="AB253" s="157" t="e">
        <f>100-AB251-AB255</f>
        <v>#VALUE!</v>
      </c>
      <c r="AC253" s="157" t="e">
        <f>100-AC251-AC255</f>
        <v>#VALUE!</v>
      </c>
      <c r="AD253" s="157" t="e">
        <f>100-AD251-AD255</f>
        <v>#VALUE!</v>
      </c>
      <c r="AE253" s="157" t="e">
        <f>100-AE251-AE255</f>
        <v>#DIV/0!</v>
      </c>
      <c r="AH253" s="405"/>
      <c r="AI253" s="395" t="s">
        <v>12</v>
      </c>
      <c r="AJ253" s="203"/>
      <c r="AK253" s="157" t="e">
        <f>100-AK251-AK255</f>
        <v>#VALUE!</v>
      </c>
      <c r="AL253" s="157" t="e">
        <f>100-AL251-AL255</f>
        <v>#VALUE!</v>
      </c>
      <c r="AM253" s="118"/>
      <c r="AN253" s="118"/>
      <c r="AO253" s="405"/>
      <c r="AP253" s="395" t="s">
        <v>12</v>
      </c>
      <c r="AQ253" s="157" t="e">
        <f>100-AQ251-AQ255</f>
        <v>#VALUE!</v>
      </c>
      <c r="AR253" s="157" t="e">
        <f>100-AR251-AR255</f>
        <v>#VALUE!</v>
      </c>
      <c r="AS253" s="157" t="e">
        <f>100-AS251-AS255</f>
        <v>#VALUE!</v>
      </c>
      <c r="AT253" s="157" t="e">
        <f>100-AT251-AT255</f>
        <v>#VALUE!</v>
      </c>
      <c r="AU253" s="157" t="e">
        <f>100-AU251-AU255</f>
        <v>#DIV/0!</v>
      </c>
    </row>
    <row r="254" spans="18:47" ht="12.75">
      <c r="R254" s="405"/>
      <c r="S254" s="376"/>
      <c r="T254" s="161"/>
      <c r="U254" s="159" t="e">
        <f>IF(U253&lt;0.5,"almost certainly not",IF(U253&lt;5,"very unlikely",IF(U253&lt;25,"unlikely, probably not",IF(U253&lt;75,"possibly, may (not)",IF(U253&lt;95,"likely, probable",IF(U253&lt;99.5,"very likely","almost certainly"))))))</f>
        <v>#VALUE!</v>
      </c>
      <c r="V254" s="159" t="e">
        <f>IF(V253&lt;0.5,"almost certainly not",IF(V253&lt;5,"very unlikely",IF(V253&lt;25,"unlikely, probably not",IF(V253&lt;75,"possibly, may (not)",IF(V253&lt;95,"likely, probable",IF(V253&lt;99.5,"very likely","almost certainly"))))))</f>
        <v>#VALUE!</v>
      </c>
      <c r="W254" s="118"/>
      <c r="X254" s="118"/>
      <c r="Y254" s="405"/>
      <c r="Z254" s="376"/>
      <c r="AA254" s="159" t="e">
        <f>IF(AA253&lt;0.5,"almost certainly not",IF(AA253&lt;5,"very unlikely",IF(AA253&lt;25,"unlikely, probably not",IF(AA253&lt;75,"possibly, may (not)",IF(AA253&lt;95,"likely, probable",IF(AA253&lt;99.5,"very likely","almost certainly"))))))</f>
        <v>#VALUE!</v>
      </c>
      <c r="AB254" s="159" t="e">
        <f>IF(AB253&lt;0.5,"almost certainly not",IF(AB253&lt;5,"very unlikely",IF(AB253&lt;25,"unlikely, probably not",IF(AB253&lt;75,"possibly, may (not)",IF(AB253&lt;95,"likely, probable",IF(AB253&lt;99.5,"very likely","almost certainly"))))))</f>
        <v>#VALUE!</v>
      </c>
      <c r="AC254" s="159" t="e">
        <f>IF(AC253&lt;0.5,"almost certainly not",IF(AC253&lt;5,"very unlikely",IF(AC253&lt;25,"unlikely, probably not",IF(AC253&lt;75,"possibly, may (not)",IF(AC253&lt;95,"likely, probable",IF(AC253&lt;99.5,"very likely","almost certainly"))))))</f>
        <v>#VALUE!</v>
      </c>
      <c r="AD254" s="159" t="e">
        <f>IF(AD253&lt;0.5,"almost certainly not",IF(AD253&lt;5,"very unlikely",IF(AD253&lt;25,"unlikely, probably not",IF(AD253&lt;75,"possibly, may (not)",IF(AD253&lt;95,"likely, probable",IF(AD253&lt;99.5,"very likely","almost certainly"))))))</f>
        <v>#VALUE!</v>
      </c>
      <c r="AE254" s="159" t="e">
        <f>IF(AE253&lt;0.5,"almost certainly not",IF(AE253&lt;5,"very unlikely",IF(AE253&lt;25,"unlikely, probably not",IF(AE253&lt;75,"possibly, may (not)",IF(AE253&lt;95,"likely, probable",IF(AE253&lt;99.5,"very likely","almost certainly"))))))</f>
        <v>#DIV/0!</v>
      </c>
      <c r="AH254" s="405"/>
      <c r="AI254" s="376"/>
      <c r="AJ254" s="204"/>
      <c r="AK254" s="159" t="e">
        <f>IF(AK253&lt;0.5,"almost certainly not",IF(AK253&lt;5,"very unlikely",IF(AK253&lt;25,"unlikely, probably not",IF(AK253&lt;75,"possibly, may (not)",IF(AK253&lt;95,"likely, probable",IF(AK253&lt;99.5,"very likely","almost certainly"))))))</f>
        <v>#VALUE!</v>
      </c>
      <c r="AL254" s="159" t="e">
        <f>IF(AL253&lt;0.5,"almost certainly not",IF(AL253&lt;5,"very unlikely",IF(AL253&lt;25,"unlikely, probably not",IF(AL253&lt;75,"possibly, may (not)",IF(AL253&lt;95,"likely, probable",IF(AL253&lt;99.5,"very likely","almost certainly"))))))</f>
        <v>#VALUE!</v>
      </c>
      <c r="AM254" s="118"/>
      <c r="AN254" s="118"/>
      <c r="AO254" s="405"/>
      <c r="AP254" s="376"/>
      <c r="AQ254" s="159" t="e">
        <f>IF(AQ253&lt;0.5,"almost certainly not",IF(AQ253&lt;5,"very unlikely",IF(AQ253&lt;25,"unlikely, probably not",IF(AQ253&lt;75,"possibly, may (not)",IF(AQ253&lt;95,"likely, probable",IF(AQ253&lt;99.5,"very likely","almost certainly"))))))</f>
        <v>#VALUE!</v>
      </c>
      <c r="AR254" s="159" t="e">
        <f>IF(AR253&lt;0.5,"almost certainly not",IF(AR253&lt;5,"very unlikely",IF(AR253&lt;25,"unlikely, probably not",IF(AR253&lt;75,"possibly, may (not)",IF(AR253&lt;95,"likely, probable",IF(AR253&lt;99.5,"very likely","almost certainly"))))))</f>
        <v>#VALUE!</v>
      </c>
      <c r="AS254" s="159" t="e">
        <f>IF(AS253&lt;0.5,"almost certainly not",IF(AS253&lt;5,"very unlikely",IF(AS253&lt;25,"unlikely, probably not",IF(AS253&lt;75,"possibly, may (not)",IF(AS253&lt;95,"likely, probable",IF(AS253&lt;99.5,"very likely","almost certainly"))))))</f>
        <v>#VALUE!</v>
      </c>
      <c r="AT254" s="159" t="e">
        <f>IF(AT253&lt;0.5,"almost certainly not",IF(AT253&lt;5,"very unlikely",IF(AT253&lt;25,"unlikely, probably not",IF(AT253&lt;75,"possibly, may (not)",IF(AT253&lt;95,"likely, probable",IF(AT253&lt;99.5,"very likely","almost certainly"))))))</f>
        <v>#VALUE!</v>
      </c>
      <c r="AU254" s="159" t="e">
        <f>IF(AU253&lt;0.5,"almost certainly not",IF(AU253&lt;5,"very unlikely",IF(AU253&lt;25,"unlikely, probably not",IF(AU253&lt;75,"possibly, may (not)",IF(AU253&lt;95,"likely, probable",IF(AU253&lt;99.5,"very likely","almost certainly"))))))</f>
        <v>#DIV/0!</v>
      </c>
    </row>
    <row r="255" spans="18:47" ht="12.75">
      <c r="R255" s="405"/>
      <c r="S255" s="375" t="s">
        <v>14</v>
      </c>
      <c r="T255" s="156"/>
      <c r="U255" s="157" t="e">
        <f>IF(ISERROR(TDIST((U250-U245)/U123,U244,1)),TDIST((U245-U250)/U123,U244,1),1-TDIST((U250-U245)/U123,U244,1))*100</f>
        <v>#VALUE!</v>
      </c>
      <c r="V255" s="157" t="e">
        <f>IF(ISERROR(TDIST((V250-V245)/V123,V244,1)),TDIST((V245-V250)/V123,V244,1),1-TDIST((V250-V245)/V123,V244,1))*100</f>
        <v>#VALUE!</v>
      </c>
      <c r="W255" s="118"/>
      <c r="X255" s="118"/>
      <c r="Y255" s="405"/>
      <c r="Z255" s="375" t="s">
        <v>14</v>
      </c>
      <c r="AA255" s="157" t="e">
        <f>IF(ISERROR(TDIST((AA250-AA$117)/AA$123,AA244,1)),TDIST((AA$117-AA250)/AA$123,AA244,1),1-TDIST((AA250-AA$117)/AA$123,AA244,1))*100</f>
        <v>#VALUE!</v>
      </c>
      <c r="AB255" s="157" t="e">
        <f>IF(ISERROR(TDIST((AB250-AB$117)/AB$123,AB244,1)),TDIST((AB$117-AB250)/AB$123,AB244,1),1-TDIST((AB250-AB$117)/AB$123,AB244,1))*100</f>
        <v>#VALUE!</v>
      </c>
      <c r="AC255" s="157" t="e">
        <f>IF(ISERROR(TDIST((AC250-AC$117)/AC$123,AC244,1)),TDIST((AC$117-AC250)/AC$123,AC244,1),1-TDIST((AC250-AC$117)/AC$123,AC244,1))*100</f>
        <v>#VALUE!</v>
      </c>
      <c r="AD255" s="157" t="e">
        <f>IF(ISERROR(TDIST((AD250-AD$117)/AD$123,AD244,1)),TDIST((AD$117-AD250)/AD$123,AD244,1),1-TDIST((AD250-AD$117)/AD$123,AD244,1))*100</f>
        <v>#VALUE!</v>
      </c>
      <c r="AE255" s="157" t="e">
        <f>IF(ISERROR(TDIST((AE250-AE245)/AE123,AE244,1)),TDIST((AE245-AE250)/AE123,AE244,1),1-TDIST((AE250-AE245)/AE123,AE244,1))*100</f>
        <v>#DIV/0!</v>
      </c>
      <c r="AH255" s="405"/>
      <c r="AI255" s="375" t="s">
        <v>14</v>
      </c>
      <c r="AJ255" s="201"/>
      <c r="AK255" s="157" t="e">
        <f>IF(ISERROR(TDIST((AK250-AK245)/ABS(AK245)*TINV(#REF!,AK244),AK244,1)),TDIST((AK245-AK250)/ABS(AK245)*TINV(#REF!,AK244),AK244,1),1-TDIST((AK250-AK245)/ABS(AK245)*TINV(#REF!,AK244),AK244,1))*100</f>
        <v>#VALUE!</v>
      </c>
      <c r="AL255" s="157" t="e">
        <f>IF(ISERROR(TDIST((AL250-AL245)/ABS(AL245)*TINV(#REF!,AL244),AL244,1)),TDIST((AL245-AL250)/ABS(AL245)*TINV(#REF!,AL244),AL244,1),1-TDIST((AL250-AL245)/ABS(AL245)*TINV(#REF!,AL244),AL244,1))*100</f>
        <v>#VALUE!</v>
      </c>
      <c r="AM255" s="118"/>
      <c r="AN255" s="118"/>
      <c r="AO255" s="405"/>
      <c r="AP255" s="375" t="s">
        <v>14</v>
      </c>
      <c r="AQ255" s="157" t="e">
        <f>IF(ISERROR(TDIST((AQ250-AQ$117)/AQ$123,AQ244,1)),TDIST((AQ$117-AQ250)/AQ$123,AQ244,1),1-TDIST((AQ250-AQ$117)/AQ$123,AQ244,1))*100</f>
        <v>#VALUE!</v>
      </c>
      <c r="AR255" s="157" t="e">
        <f>IF(ISERROR(TDIST((AR250-AR$117)/AR$123,AR244,1)),TDIST((AR$117-AR250)/AR$123,AR244,1),1-TDIST((AR250-AR$117)/AR$123,AR244,1))*100</f>
        <v>#VALUE!</v>
      </c>
      <c r="AS255" s="157" t="e">
        <f>IF(ISERROR(TDIST((AS250-AS$117)/AS$123,AS244,1)),TDIST((AS$117-AS250)/AS$123,AS244,1),1-TDIST((AS250-AS$117)/AS$123,AS244,1))*100</f>
        <v>#VALUE!</v>
      </c>
      <c r="AT255" s="157" t="e">
        <f>IF(ISERROR(TDIST((AT250-AT$117)/AT$123,AT244,1)),TDIST((AT$117-AT250)/AT$123,AT244,1),1-TDIST((AT250-AT$117)/AT$123,AT244,1))*100</f>
        <v>#VALUE!</v>
      </c>
      <c r="AU255" s="157" t="e">
        <f>IF(ISERROR(TDIST((AU250-AU$117)/AU$123,AU244,1)),TDIST((AU$117-AU250)/AU$123,AU244,1),1-TDIST((AU250-AU$117)/AU$123,AU244,1))*100</f>
        <v>#DIV/0!</v>
      </c>
    </row>
    <row r="256" spans="18:48" ht="12.75">
      <c r="R256" s="406"/>
      <c r="S256" s="376"/>
      <c r="T256" s="161"/>
      <c r="U256" s="159" t="e">
        <f>IF(U255&lt;0.5,"almost certainly not",IF(U255&lt;5,"very unlikely",IF(U255&lt;25,"unlikely, probably not",IF(U255&lt;75,"possibly, may (not)",IF(U255&lt;95,"likely, probable",IF(U255&lt;99.5,"very likely","almost certainly"))))))</f>
        <v>#VALUE!</v>
      </c>
      <c r="V256" s="159" t="e">
        <f>IF(V255&lt;0.5,"almost certainly not",IF(V255&lt;5,"very unlikely",IF(V255&lt;25,"unlikely, probably not",IF(V255&lt;75,"possibly, may (not)",IF(V255&lt;95,"likely, probable",IF(V255&lt;99.5,"very likely","almost certainly"))))))</f>
        <v>#VALUE!</v>
      </c>
      <c r="W256" s="118"/>
      <c r="X256" s="118"/>
      <c r="Y256" s="406"/>
      <c r="Z256" s="376"/>
      <c r="AA256" s="159" t="e">
        <f>IF(AA255&lt;0.5,"almost certainly not",IF(AA255&lt;5,"very unlikely",IF(AA255&lt;25,"unlikely, probably not",IF(AA255&lt;75,"possibly, may (not)",IF(AA255&lt;95,"likely, probable",IF(AA255&lt;99.5,"very likely","almost certainly"))))))</f>
        <v>#VALUE!</v>
      </c>
      <c r="AB256" s="159" t="e">
        <f>IF(AB255&lt;0.5,"almost certainly not",IF(AB255&lt;5,"very unlikely",IF(AB255&lt;25,"unlikely, probably not",IF(AB255&lt;75,"possibly, may (not)",IF(AB255&lt;95,"likely, probable",IF(AB255&lt;99.5,"very likely","almost certainly"))))))</f>
        <v>#VALUE!</v>
      </c>
      <c r="AC256" s="159" t="e">
        <f>IF(AC255&lt;0.5,"almost certainly not",IF(AC255&lt;5,"very unlikely",IF(AC255&lt;25,"unlikely, probably not",IF(AC255&lt;75,"possibly, may (not)",IF(AC255&lt;95,"likely, probable",IF(AC255&lt;99.5,"very likely","almost certainly"))))))</f>
        <v>#VALUE!</v>
      </c>
      <c r="AD256" s="159" t="e">
        <f>IF(AD255&lt;0.5,"almost certainly not",IF(AD255&lt;5,"very unlikely",IF(AD255&lt;25,"unlikely, probably not",IF(AD255&lt;75,"possibly, may (not)",IF(AD255&lt;95,"likely, probable",IF(AD255&lt;99.5,"very likely","almost certainly"))))))</f>
        <v>#VALUE!</v>
      </c>
      <c r="AE256" s="159" t="e">
        <f>IF(AE255&lt;0.5,"almost certainly not",IF(AE255&lt;5,"very unlikely",IF(AE255&lt;25,"unlikely, probably not",IF(AE255&lt;75,"possibly, may (not)",IF(AE255&lt;95,"likely, probable",IF(AE255&lt;99.5,"very likely","almost certainly"))))))</f>
        <v>#DIV/0!</v>
      </c>
      <c r="AF256" s="24"/>
      <c r="AG256" s="24"/>
      <c r="AH256" s="406"/>
      <c r="AI256" s="376"/>
      <c r="AJ256" s="204"/>
      <c r="AK256" s="159" t="e">
        <f>IF(AK255&lt;0.5,"almost certainly not",IF(AK255&lt;5,"very unlikely",IF(AK255&lt;25,"unlikely, probably not",IF(AK255&lt;75,"possibly, may (not)",IF(AK255&lt;95,"likely, probable",IF(AK255&lt;99.5,"very likely","almost certainly"))))))</f>
        <v>#VALUE!</v>
      </c>
      <c r="AL256" s="159" t="e">
        <f>IF(AL255&lt;0.5,"almost certainly not",IF(AL255&lt;5,"very unlikely",IF(AL255&lt;25,"unlikely, probably not",IF(AL255&lt;75,"possibly, may (not)",IF(AL255&lt;95,"likely, probable",IF(AL255&lt;99.5,"very likely","almost certainly"))))))</f>
        <v>#VALUE!</v>
      </c>
      <c r="AM256" s="118"/>
      <c r="AN256" s="118"/>
      <c r="AO256" s="406"/>
      <c r="AP256" s="376"/>
      <c r="AQ256" s="159" t="e">
        <f>IF(AQ255&lt;0.5,"almost certainly not",IF(AQ255&lt;5,"very unlikely",IF(AQ255&lt;25,"unlikely, probably not",IF(AQ255&lt;75,"possibly, may (not)",IF(AQ255&lt;95,"likely, probable",IF(AQ255&lt;99.5,"very likely","almost certainly"))))))</f>
        <v>#VALUE!</v>
      </c>
      <c r="AR256" s="159" t="e">
        <f>IF(AR255&lt;0.5,"almost certainly not",IF(AR255&lt;5,"very unlikely",IF(AR255&lt;25,"unlikely, probably not",IF(AR255&lt;75,"possibly, may (not)",IF(AR255&lt;95,"likely, probable",IF(AR255&lt;99.5,"very likely","almost certainly"))))))</f>
        <v>#VALUE!</v>
      </c>
      <c r="AS256" s="159" t="e">
        <f>IF(AS255&lt;0.5,"almost certainly not",IF(AS255&lt;5,"very unlikely",IF(AS255&lt;25,"unlikely, probably not",IF(AS255&lt;75,"possibly, may (not)",IF(AS255&lt;95,"likely, probable",IF(AS255&lt;99.5,"very likely","almost certainly"))))))</f>
        <v>#VALUE!</v>
      </c>
      <c r="AT256" s="159" t="e">
        <f>IF(AT255&lt;0.5,"almost certainly not",IF(AT255&lt;5,"very unlikely",IF(AT255&lt;25,"unlikely, probably not",IF(AT255&lt;75,"possibly, may (not)",IF(AT255&lt;95,"likely, probable",IF(AT255&lt;99.5,"very likely","almost certainly"))))))</f>
        <v>#VALUE!</v>
      </c>
      <c r="AU256" s="159" t="e">
        <f>IF(AU255&lt;0.5,"almost certainly not",IF(AU255&lt;5,"very unlikely",IF(AU255&lt;25,"unlikely, probably not",IF(AU255&lt;75,"possibly, may (not)",IF(AU255&lt;95,"likely, probable",IF(AU255&lt;99.5,"very likely","almost certainly"))))))</f>
        <v>#DIV/0!</v>
      </c>
      <c r="AV256" s="24"/>
    </row>
    <row r="257" spans="18:47" ht="12.75">
      <c r="R257" s="269"/>
      <c r="S257" s="270"/>
      <c r="T257" s="271"/>
      <c r="U257" s="272"/>
      <c r="V257" s="272"/>
      <c r="W257" s="118"/>
      <c r="X257" s="118"/>
      <c r="Y257" s="269"/>
      <c r="Z257" s="270"/>
      <c r="AA257" s="162"/>
      <c r="AB257" s="162"/>
      <c r="AC257" s="163"/>
      <c r="AD257" s="163"/>
      <c r="AE257" s="163"/>
      <c r="AH257" s="269"/>
      <c r="AI257" s="270"/>
      <c r="AJ257" s="271"/>
      <c r="AK257" s="272"/>
      <c r="AL257" s="272"/>
      <c r="AM257" s="118"/>
      <c r="AN257" s="118"/>
      <c r="AO257" s="269"/>
      <c r="AP257" s="270"/>
      <c r="AQ257" s="162"/>
      <c r="AR257" s="162"/>
      <c r="AS257" s="163"/>
      <c r="AT257" s="163"/>
      <c r="AU257" s="163"/>
    </row>
    <row r="258" spans="18:47" ht="12.75">
      <c r="R258" s="140"/>
      <c r="S258" s="164" t="s">
        <v>138</v>
      </c>
      <c r="T258" s="164"/>
      <c r="U258" s="154">
        <f>IF(ISERROR(SQRT(U94^2-U63^2)),-SQRT(U63^2-U94^2),SQRT(U94^2-U63^2))</f>
        <v>-0.3796987704355352</v>
      </c>
      <c r="V258" s="154">
        <f>IF(ISERROR(SQRT(V94^2-V63^2)),-SQRT(V63^2-V94^2),SQRT(V94^2-V63^2))</f>
        <v>2.493019675538715</v>
      </c>
      <c r="W258" s="118"/>
      <c r="X258" s="118"/>
      <c r="Y258" s="140"/>
      <c r="Z258" s="164" t="s">
        <v>138</v>
      </c>
      <c r="AA258" s="154">
        <f>IF(ISERROR(SQRT(AA94^2-AA63^2)),-SQRT(AA63^2-AA94^2),SQRT(AA94^2-AA63^2))</f>
        <v>1.8448726870578576</v>
      </c>
      <c r="AB258" s="154">
        <f>IF(ISERROR(SQRT(AB94^2-AB63^2)),-SQRT(AB63^2-AB94^2),SQRT(AB94^2-AB63^2))</f>
        <v>2.3199938476470177</v>
      </c>
      <c r="AC258" s="165">
        <f>IF(ISERROR(SQRT(AC94^2-AC63^2)),-SQRT(AC63^2-AC94^2),SQRT(AC94^2-AC63^2))</f>
        <v>3.926071125412756</v>
      </c>
      <c r="AD258" s="165">
        <f>IF(ISERROR(SQRT(AD94^2-AD63^2)),-SQRT(AD63^2-AD94^2),SQRT(AD94^2-AD63^2))</f>
        <v>2.712165568418641</v>
      </c>
      <c r="AE258" s="165" t="e">
        <f>IF(ISERROR(SQRT(AE94^2-AE63^2)),-SQRT(AE63^2-AE94^2),SQRT(AE94^2-AE63^2))</f>
        <v>#DIV/0!</v>
      </c>
      <c r="AH258" s="140"/>
      <c r="AI258" s="164" t="s">
        <v>138</v>
      </c>
      <c r="AJ258" s="196"/>
      <c r="AK258" s="154">
        <f>IF(ISERROR(SQRT(AK94^2-AK63^2)),-SQRT(AK63^2-AK94^2),SQRT(AK94^2-AK63^2))</f>
        <v>-18.164677552528</v>
      </c>
      <c r="AL258" s="154">
        <f>IF(ISERROR(SQRT(AL94^2-AL63^2)),-SQRT(AL63^2-AL94^2),SQRT(AL94^2-AL63^2))</f>
        <v>-10.476689503092803</v>
      </c>
      <c r="AM258" s="118"/>
      <c r="AN258" s="118"/>
      <c r="AO258" s="140"/>
      <c r="AP258" s="164" t="s">
        <v>138</v>
      </c>
      <c r="AQ258" s="154">
        <f>IF(ISERROR(SQRT(AQ94^2-AQ63^2)),-SQRT(AQ63^2-AQ94^2),SQRT(AQ94^2-AQ63^2))</f>
        <v>7.145029385315881</v>
      </c>
      <c r="AR258" s="154">
        <f>IF(ISERROR(SQRT(AR94^2-AR63^2)),-SQRT(AR63^2-AR94^2),SQRT(AR94^2-AR63^2))</f>
        <v>13.318835684913136</v>
      </c>
      <c r="AS258" s="165">
        <f>IF(ISERROR(SQRT(AS94^2-AS63^2)),-SQRT(AS63^2-AS94^2),SQRT(AS94^2-AS63^2))</f>
        <v>19.62637569609321</v>
      </c>
      <c r="AT258" s="165">
        <f>IF(ISERROR(SQRT(AT94^2-AT63^2)),-SQRT(AT63^2-AT94^2),SQRT(AT94^2-AT63^2))</f>
        <v>12.900063505541878</v>
      </c>
      <c r="AU258" s="165" t="e">
        <f>IF(ISERROR(SQRT(AU94^2-AU63^2)),-SQRT(AU63^2-AU94^2),SQRT(AU94^2-AU63^2))</f>
        <v>#DIV/0!</v>
      </c>
    </row>
    <row r="259" spans="18:47" ht="12.75" customHeight="1">
      <c r="R259" s="402" t="s">
        <v>143</v>
      </c>
      <c r="S259" s="146" t="s">
        <v>9</v>
      </c>
      <c r="T259" s="146"/>
      <c r="U259" s="147">
        <f>IF(ISERROR(SQRT(U94^2-U63^2+NORMINV(0.5-U243/200,0,1)*SQRT(2*U63^4/U65+2*U94^4/U96))),-SQRT(-(U94^2-U63^2+NORMINV(0.5-U243/200,0,1)*SQRT(2*U63^4/U65+2*U94^4/U96))),SQRT(U94^2-U63^2+NORMINV(0.5-U243/200,0,1)*SQRT(2*U63^4/U65+2*U94^4/U96)))</f>
        <v>-4.740003482634918</v>
      </c>
      <c r="V259" s="147">
        <f>IF(ISERROR(SQRT(V94^2-V63^2+NORMINV(0.5-V243/200,0,1)*SQRT(2*V63^4/V65+2*V94^4/V96))),-SQRT(-(V94^2-V63^2+NORMINV(0.5-V243/200,0,1)*SQRT(2*V63^4/V65+2*V94^4/V96))),SQRT(V94^2-V63^2+NORMINV(0.5-V243/200,0,1)*SQRT(2*V63^4/V65+2*V94^4/V96)))</f>
        <v>-4.102043664275932</v>
      </c>
      <c r="W259" s="118"/>
      <c r="X259" s="118"/>
      <c r="Y259" s="402" t="s">
        <v>143</v>
      </c>
      <c r="Z259" s="146" t="s">
        <v>9</v>
      </c>
      <c r="AA259" s="147">
        <f>IF(ISERROR(SQRT(AA94^2-AA63^2+NORMINV(0.5-AA243/200,0,1)*SQRT(2*AA63^4/AA65+2*AA94^4/AA96))),-SQRT(-(AA94^2-AA63^2+NORMINV(0.5-AA243/200,0,1)*SQRT(2*AA63^4/AA65+2*AA94^4/AA96))),SQRT(AA94^2-AA63^2+NORMINV(0.5-AA243/200,0,1)*SQRT(2*AA63^4/AA65+2*AA94^4/AA96)))</f>
        <v>-2.201775710092206</v>
      </c>
      <c r="AB259" s="147">
        <f>IF(ISERROR(SQRT(AB94^2-AB63^2+NORMINV(0.5-AB243/200,0,1)*SQRT(2*AB63^4/AB65+2*AB94^4/AB96))),-SQRT(-(AB94^2-AB63^2+NORMINV(0.5-AB243/200,0,1)*SQRT(2*AB63^4/AB65+2*AB94^4/AB96))),SQRT(AB94^2-AB63^2+NORMINV(0.5-AB243/200,0,1)*SQRT(2*AB63^4/AB65+2*AB94^4/AB96)))</f>
        <v>-1.7563379502128844</v>
      </c>
      <c r="AC259" s="147">
        <f>IF(ISERROR(SQRT(AC94^2-AC63^2+NORMINV(0.5-AC243/200,0,1)*SQRT(2*AC63^4/AC65+2*AC94^4/AC96))),-SQRT(-(AC94^2-AC63^2+NORMINV(0.5-AC243/200,0,1)*SQRT(2*AC63^4/AC65+2*AC94^4/AC96))),SQRT(AC94^2-AC63^2+NORMINV(0.5-AC243/200,0,1)*SQRT(2*AC63^4/AC65+2*AC94^4/AC96)))</f>
        <v>2.0294381795018013</v>
      </c>
      <c r="AD259" s="147">
        <f>IF(ISERROR(SQRT(AD94^2-AD63^2+NORMINV(0.5-AD243/200,0,1)*SQRT(2*AD63^4/AD65+2*AD94^4/AD96))),-SQRT(-(AD94^2-AD63^2+NORMINV(0.5-AD243/200,0,1)*SQRT(2*AD63^4/AD65+2*AD94^4/AD96))),SQRT(AD94^2-AD63^2+NORMINV(0.5-AD243/200,0,1)*SQRT(2*AD63^4/AD65+2*AD94^4/AD96)))</f>
        <v>-1.9655500312730299</v>
      </c>
      <c r="AE259" s="147" t="e">
        <f>IF(ISERROR(SQRT(AE94^2-AE63^2+NORMINV(0.5-AE243/200,0,1)*SQRT(2*AE63^4/AE65+2*AE94^4/AE96))),-SQRT(-(AE94^2-AE63^2+NORMINV(0.5-AE243/200,0,1)*SQRT(2*AE63^4/AE65+2*AE94^4/AE96))),SQRT(AE94^2-AE63^2+NORMINV(0.5-AE243/200,0,1)*SQRT(2*AE63^4/AE65+2*AE94^4/AE96)))</f>
        <v>#DIV/0!</v>
      </c>
      <c r="AH259" s="402" t="s">
        <v>143</v>
      </c>
      <c r="AI259" s="146" t="s">
        <v>9</v>
      </c>
      <c r="AJ259" s="198"/>
      <c r="AK259" s="147">
        <f>IF(ISERROR(SQRT(AK94^2-AK63^2+NORMINV(0.5-AK243/200,0,1)*SQRT(2*AK63^4/AK65+2*AK94^4/AK96))),-SQRT(-(AK94^2-AK63^2+NORMINV(0.5-AK243/200,0,1)*SQRT(2*AK63^4/AK65+2*AK94^4/AK96))),SQRT(AK94^2-AK63^2+NORMINV(0.5-AK243/200,0,1)*SQRT(2*AK63^4/AK65+2*AK94^4/AK96)))</f>
        <v>-29.791058544984377</v>
      </c>
      <c r="AL259" s="147">
        <f>IF(ISERROR(SQRT(AL94^2-AL63^2+NORMINV(0.5-AL243/200,0,1)*SQRT(2*AL63^4/AL65+2*AL94^4/AL96))),-SQRT(-(AL94^2-AL63^2+NORMINV(0.5-AL243/200,0,1)*SQRT(2*AL63^4/AL65+2*AL94^4/AL96))),SQRT(AL94^2-AL63^2+NORMINV(0.5-AL243/200,0,1)*SQRT(2*AL63^4/AL65+2*AL94^4/AL96)))</f>
        <v>-25.917265208115264</v>
      </c>
      <c r="AM259" s="118"/>
      <c r="AN259" s="118"/>
      <c r="AO259" s="402" t="s">
        <v>143</v>
      </c>
      <c r="AP259" s="146" t="s">
        <v>9</v>
      </c>
      <c r="AQ259" s="147">
        <f>IF(ISERROR(SQRT(AQ94^2-AQ63^2+NORMINV(0.5-AQ243/200,0,1)*SQRT(2*AQ63^4/AQ65+2*AQ94^4/AQ96))),-SQRT(-(AQ94^2-AQ63^2+NORMINV(0.5-AQ243/200,0,1)*SQRT(2*AQ63^4/AQ65+2*AQ94^4/AQ96))),SQRT(AQ94^2-AQ63^2+NORMINV(0.5-AQ243/200,0,1)*SQRT(2*AQ63^4/AQ65+2*AQ94^4/AQ96)))</f>
        <v>-14.995566108416162</v>
      </c>
      <c r="AR259" s="147">
        <f>IF(ISERROR(SQRT(AR94^2-AR63^2+NORMINV(0.5-AR243/200,0,1)*SQRT(2*AR63^4/AR65+2*AR94^4/AR96))),-SQRT(-(AR94^2-AR63^2+NORMINV(0.5-AR243/200,0,1)*SQRT(2*AR63^4/AR65+2*AR94^4/AR96))),SQRT(AR94^2-AR63^2+NORMINV(0.5-AR243/200,0,1)*SQRT(2*AR63^4/AR65+2*AR94^4/AR96)))</f>
        <v>-9.21354110363516</v>
      </c>
      <c r="AS259" s="147">
        <f>IF(ISERROR(SQRT(AS94^2-AS63^2+NORMINV(0.5-AS243/200,0,1)*SQRT(2*AS63^4/AS65+2*AS94^4/AS96))),-SQRT(-(AS94^2-AS63^2+NORMINV(0.5-AS243/200,0,1)*SQRT(2*AS63^4/AS65+2*AS94^4/AS96))),SQRT(AS94^2-AS63^2+NORMINV(0.5-AS243/200,0,1)*SQRT(2*AS63^4/AS65+2*AS94^4/AS96)))</f>
        <v>9.668190695071802</v>
      </c>
      <c r="AT259" s="147">
        <f>IF(ISERROR(SQRT(AT94^2-AT63^2+NORMINV(0.5-AT243/200,0,1)*SQRT(2*AT63^4/AT65+2*AT94^4/AT96))),-SQRT(-(AT94^2-AT63^2+NORMINV(0.5-AT243/200,0,1)*SQRT(2*AT63^4/AT65+2*AT94^4/AT96))),SQRT(AT94^2-AT63^2+NORMINV(0.5-AT243/200,0,1)*SQRT(2*AT63^4/AT65+2*AT94^4/AT96)))</f>
        <v>-12.495823152460689</v>
      </c>
      <c r="AU259" s="147" t="e">
        <f>IF(ISERROR(SQRT(AU94^2-AU63^2+NORMINV(0.5-AU243/200,0,1)*SQRT(2*AU63^4/AU65+2*AU94^4/AU96))),-SQRT(-(AU94^2-AU63^2+NORMINV(0.5-AU243/200,0,1)*SQRT(2*AU63^4/AU65+2*AU94^4/AU96))),SQRT(AU94^2-AU63^2+NORMINV(0.5-AU243/200,0,1)*SQRT(2*AU63^4/AU65+2*AU94^4/AU96)))</f>
        <v>#DIV/0!</v>
      </c>
    </row>
    <row r="260" spans="18:47" ht="12.75">
      <c r="R260" s="403"/>
      <c r="S260" s="148" t="s">
        <v>10</v>
      </c>
      <c r="T260" s="148"/>
      <c r="U260" s="166">
        <f>IF(ISERROR(SQRT(U94^2-U63^2+NORMINV(0.5+U243/200,0,1)*SQRT(2*U63^4/U65+2*U94^4/U96))),-SQRT(-(U94^2-U63^2+NORMINV(0.5+U243/200,0,1)*SQRT(2*U63^4/U65+2*U94^4/U96))),SQRT(U94^2-U63^2+NORMINV(0.5+U243/200,0,1)*SQRT(2*U63^4/U65+2*U94^4/U96)))</f>
        <v>4.7094894312282545</v>
      </c>
      <c r="V260" s="166">
        <f>IF(ISERROR(SQRT(V94^2-V63^2+NORMINV(0.5+V243/200,0,1)*SQRT(2*V63^4/V65+2*V94^4/V96))),-SQRT(-(V94^2-V63^2+NORMINV(0.5+V243/200,0,1)*SQRT(2*V63^4/V65+2*V94^4/V96))),SQRT(V94^2-V63^2+NORMINV(0.5+V243/200,0,1)*SQRT(2*V63^4/V65+2*V94^4/V96)))</f>
        <v>5.408979240935634</v>
      </c>
      <c r="W260" s="118"/>
      <c r="X260" s="118"/>
      <c r="Y260" s="403"/>
      <c r="Z260" s="148" t="s">
        <v>10</v>
      </c>
      <c r="AA260" s="166">
        <f>IF(ISERROR(SQRT(AA94^2-AA63^2+NORMINV(0.5+AA243/200,0,1)*SQRT(2*AA63^4/AA65+2*AA94^4/AA96))),-SQRT(-(AA94^2-AA63^2+NORMINV(0.5+AA243/200,0,1)*SQRT(2*AA63^4/AA65+2*AA94^4/AA96))),SQRT(AA94^2-AA63^2+NORMINV(0.5+AA243/200,0,1)*SQRT(2*AA63^4/AA65+2*AA94^4/AA96)))</f>
        <v>3.4139312735402556</v>
      </c>
      <c r="AB260" s="166">
        <f>IF(ISERROR(SQRT(AB94^2-AB63^2+NORMINV(0.5+AB243/200,0,1)*SQRT(2*AB63^4/AB65+2*AB94^4/AB96))),-SQRT(-(AB94^2-AB63^2+NORMINV(0.5+AB243/200,0,1)*SQRT(2*AB63^4/AB65+2*AB94^4/AB96))),SQRT(AB94^2-AB63^2+NORMINV(0.5+AB243/200,0,1)*SQRT(2*AB63^4/AB65+2*AB94^4/AB96)))</f>
        <v>3.7214870551431476</v>
      </c>
      <c r="AC260" s="166">
        <f>IF(ISERROR(SQRT(AC94^2-AC63^2+NORMINV(0.5+AC243/200,0,1)*SQRT(2*AC63^4/AC65+2*AC94^4/AC96))),-SQRT(-(AC94^2-AC63^2+NORMINV(0.5+AC243/200,0,1)*SQRT(2*AC63^4/AC65+2*AC94^4/AC96))),SQRT(AC94^2-AC63^2+NORMINV(0.5+AC243/200,0,1)*SQRT(2*AC63^4/AC65+2*AC94^4/AC96)))</f>
        <v>5.168118578281653</v>
      </c>
      <c r="AD260" s="166">
        <f>IF(ISERROR(SQRT(AD94^2-AD63^2+NORMINV(0.5+AD243/200,0,1)*SQRT(2*AD63^4/AD65+2*AD94^4/AD96))),-SQRT(-(AD94^2-AD63^2+NORMINV(0.5+AD243/200,0,1)*SQRT(2*AD63^4/AD65+2*AD94^4/AD96))),SQRT(AD94^2-AD63^2+NORMINV(0.5+AD243/200,0,1)*SQRT(2*AD63^4/AD65+2*AD94^4/AD96)))</f>
        <v>4.309880632508124</v>
      </c>
      <c r="AE260" s="166" t="e">
        <f>IF(ISERROR(SQRT(AE94^2-AE63^2+NORMINV(0.5+AE243/200,0,1)*SQRT(2*AE63^4/AE65+2*AE94^4/AE96))),-SQRT(-(AE94^2-AE63^2+NORMINV(0.5+AE243/200,0,1)*SQRT(2*AE63^4/AE65+2*AE94^4/AE96))),SQRT(AE94^2-AE63^2+NORMINV(0.5+AE243/200,0,1)*SQRT(2*AE63^4/AE65+2*AE94^4/AE96)))</f>
        <v>#DIV/0!</v>
      </c>
      <c r="AH260" s="403"/>
      <c r="AI260" s="148" t="s">
        <v>10</v>
      </c>
      <c r="AJ260" s="199"/>
      <c r="AK260" s="166">
        <f>IF(ISERROR(SQRT(AK94^2-AK63^2+NORMINV(0.5+AK243/200,0,1)*SQRT(2*AK63^4/AK65+2*AK94^4/AK96))),-SQRT(-(AK94^2-AK63^2+NORMINV(0.5+AK243/200,0,1)*SQRT(2*AK63^4/AK65+2*AK94^4/AK96))),SQRT(AK94^2-AK63^2+NORMINV(0.5+AK243/200,0,1)*SQRT(2*AK63^4/AK65+2*AK94^4/AK96)))</f>
        <v>15.086290069333055</v>
      </c>
      <c r="AL260" s="166">
        <f>IF(ISERROR(SQRT(AL94^2-AL63^2+NORMINV(0.5+AL243/200,0,1)*SQRT(2*AL63^4/AL65+2*AL94^4/AL96))),-SQRT(-(AL94^2-AL63^2+NORMINV(0.5+AL243/200,0,1)*SQRT(2*AL63^4/AL65+2*AL94^4/AL96))),SQRT(AL94^2-AL63^2+NORMINV(0.5+AL243/200,0,1)*SQRT(2*AL63^4/AL65+2*AL94^4/AL96)))</f>
        <v>21.26458534698835</v>
      </c>
      <c r="AM260" s="118"/>
      <c r="AN260" s="118"/>
      <c r="AO260" s="403"/>
      <c r="AP260" s="148" t="s">
        <v>10</v>
      </c>
      <c r="AQ260" s="166">
        <f>IF(ISERROR(SQRT(AQ94^2-AQ63^2+NORMINV(0.5+AQ243/200,0,1)*SQRT(2*AQ63^4/AQ65+2*AQ94^4/AQ96))),-SQRT(-(AQ94^2-AQ63^2+NORMINV(0.5+AQ243/200,0,1)*SQRT(2*AQ63^4/AQ65+2*AQ94^4/AQ96))),SQRT(AQ94^2-AQ63^2+NORMINV(0.5+AQ243/200,0,1)*SQRT(2*AQ63^4/AQ65+2*AQ94^4/AQ96)))</f>
        <v>18.08230883338558</v>
      </c>
      <c r="AR260" s="166">
        <f>IF(ISERROR(SQRT(AR94^2-AR63^2+NORMINV(0.5+AR243/200,0,1)*SQRT(2*AR63^4/AR65+2*AR94^4/AR96))),-SQRT(-(AR94^2-AR63^2+NORMINV(0.5+AR243/200,0,1)*SQRT(2*AR63^4/AR65+2*AR94^4/AR96))),SQRT(AR94^2-AR63^2+NORMINV(0.5+AR243/200,0,1)*SQRT(2*AR63^4/AR65+2*AR94^4/AR96)))</f>
        <v>20.96835968004664</v>
      </c>
      <c r="AS260" s="166">
        <f>IF(ISERROR(SQRT(AS94^2-AS63^2+NORMINV(0.5+AS243/200,0,1)*SQRT(2*AS63^4/AS65+2*AS94^4/AS96))),-SQRT(-(AS94^2-AS63^2+NORMINV(0.5+AS243/200,0,1)*SQRT(2*AS63^4/AS65+2*AS94^4/AS96))),SQRT(AS94^2-AS63^2+NORMINV(0.5+AS243/200,0,1)*SQRT(2*AS63^4/AS65+2*AS94^4/AS96)))</f>
        <v>26.017596634049873</v>
      </c>
      <c r="AT260" s="166">
        <f>IF(ISERROR(SQRT(AT94^2-AT63^2+NORMINV(0.5+AT243/200,0,1)*SQRT(2*AT63^4/AT65+2*AT94^4/AT96))),-SQRT(-(AT94^2-AT63^2+NORMINV(0.5+AT243/200,0,1)*SQRT(2*AT63^4/AT65+2*AT94^4/AT96))),SQRT(AT94^2-AT63^2+NORMINV(0.5+AT243/200,0,1)*SQRT(2*AT63^4/AT65+2*AT94^4/AT96)))</f>
        <v>22.112640573925113</v>
      </c>
      <c r="AU260" s="166" t="e">
        <f>IF(ISERROR(SQRT(AU94^2-AU63^2+NORMINV(0.5+AU243/200,0,1)*SQRT(2*AU63^4/AU65+2*AU94^4/AU96))),-SQRT(-(AU94^2-AU63^2+NORMINV(0.5+AU243/200,0,1)*SQRT(2*AU63^4/AU65+2*AU94^4/AU96))),SQRT(AU94^2-AU63^2+NORMINV(0.5+AU243/200,0,1)*SQRT(2*AU63^4/AU65+2*AU94^4/AU96)))</f>
        <v>#DIV/0!</v>
      </c>
    </row>
  </sheetData>
  <sheetProtection/>
  <mergeCells count="253">
    <mergeCell ref="AO168:AP168"/>
    <mergeCell ref="AO169:AP169"/>
    <mergeCell ref="AH193:AI193"/>
    <mergeCell ref="AP189:AP190"/>
    <mergeCell ref="AH176:AI176"/>
    <mergeCell ref="AH183:AH184"/>
    <mergeCell ref="AH172:AH173"/>
    <mergeCell ref="AP187:AP188"/>
    <mergeCell ref="B194:C194"/>
    <mergeCell ref="I192:J192"/>
    <mergeCell ref="I193:J193"/>
    <mergeCell ref="I194:J194"/>
    <mergeCell ref="AH194:AI194"/>
    <mergeCell ref="AO192:AP192"/>
    <mergeCell ref="AO193:AP193"/>
    <mergeCell ref="AO194:AP194"/>
    <mergeCell ref="AH180:AH182"/>
    <mergeCell ref="AH191:AI191"/>
    <mergeCell ref="B192:C192"/>
    <mergeCell ref="B193:C193"/>
    <mergeCell ref="I180:I182"/>
    <mergeCell ref="C185:C186"/>
    <mergeCell ref="B191:C191"/>
    <mergeCell ref="I191:J191"/>
    <mergeCell ref="B183:B184"/>
    <mergeCell ref="I185:I190"/>
    <mergeCell ref="B151:C151"/>
    <mergeCell ref="R160:R165"/>
    <mergeCell ref="R166:S166"/>
    <mergeCell ref="B180:B182"/>
    <mergeCell ref="R176:S176"/>
    <mergeCell ref="I176:J176"/>
    <mergeCell ref="I151:J151"/>
    <mergeCell ref="S162:S163"/>
    <mergeCell ref="R167:S167"/>
    <mergeCell ref="B176:C176"/>
    <mergeCell ref="R155:R157"/>
    <mergeCell ref="B185:B190"/>
    <mergeCell ref="R171:S171"/>
    <mergeCell ref="C187:C188"/>
    <mergeCell ref="C189:C190"/>
    <mergeCell ref="R169:S169"/>
    <mergeCell ref="J189:J190"/>
    <mergeCell ref="R158:R159"/>
    <mergeCell ref="I183:I184"/>
    <mergeCell ref="B196:C196"/>
    <mergeCell ref="R196:S196"/>
    <mergeCell ref="I196:J196"/>
    <mergeCell ref="Y196:Z196"/>
    <mergeCell ref="S211:S212"/>
    <mergeCell ref="AH209:AH214"/>
    <mergeCell ref="B209:B214"/>
    <mergeCell ref="C213:C214"/>
    <mergeCell ref="I197:I198"/>
    <mergeCell ref="Y197:Y198"/>
    <mergeCell ref="AO249:AO250"/>
    <mergeCell ref="AO227:AO229"/>
    <mergeCell ref="S255:S256"/>
    <mergeCell ref="C211:C212"/>
    <mergeCell ref="B215:C215"/>
    <mergeCell ref="S213:S214"/>
    <mergeCell ref="I227:I229"/>
    <mergeCell ref="R215:S215"/>
    <mergeCell ref="Z251:Z252"/>
    <mergeCell ref="AH246:AH248"/>
    <mergeCell ref="R209:R214"/>
    <mergeCell ref="S209:S210"/>
    <mergeCell ref="AP255:AP256"/>
    <mergeCell ref="AP253:AP254"/>
    <mergeCell ref="I222:I224"/>
    <mergeCell ref="AP251:AP252"/>
    <mergeCell ref="Y237:Y239"/>
    <mergeCell ref="AH249:AH250"/>
    <mergeCell ref="AH242:AI242"/>
    <mergeCell ref="AH215:AI215"/>
    <mergeCell ref="B204:B206"/>
    <mergeCell ref="B201:C201"/>
    <mergeCell ref="AH204:AH206"/>
    <mergeCell ref="R207:R208"/>
    <mergeCell ref="R201:S201"/>
    <mergeCell ref="R204:R206"/>
    <mergeCell ref="AH201:AI201"/>
    <mergeCell ref="AH40:AI40"/>
    <mergeCell ref="AO126:AP126"/>
    <mergeCell ref="Z135:Z136"/>
    <mergeCell ref="AO259:AO260"/>
    <mergeCell ref="AH251:AH256"/>
    <mergeCell ref="AI251:AI252"/>
    <mergeCell ref="AI253:AI254"/>
    <mergeCell ref="AI255:AI256"/>
    <mergeCell ref="AH259:AH260"/>
    <mergeCell ref="AO251:AO256"/>
    <mergeCell ref="R40:S40"/>
    <mergeCell ref="R135:R140"/>
    <mergeCell ref="S135:S136"/>
    <mergeCell ref="S137:S138"/>
    <mergeCell ref="S139:S140"/>
    <mergeCell ref="Y130:Y131"/>
    <mergeCell ref="R126:S126"/>
    <mergeCell ref="Y133:Y134"/>
    <mergeCell ref="R133:R134"/>
    <mergeCell ref="Y126:Z126"/>
    <mergeCell ref="B40:C40"/>
    <mergeCell ref="AH126:AI126"/>
    <mergeCell ref="AO246:AO248"/>
    <mergeCell ref="B146:C146"/>
    <mergeCell ref="S164:S165"/>
    <mergeCell ref="R180:R182"/>
    <mergeCell ref="B126:C126"/>
    <mergeCell ref="R130:R131"/>
    <mergeCell ref="B130:B132"/>
    <mergeCell ref="Z137:Z138"/>
    <mergeCell ref="B133:B134"/>
    <mergeCell ref="B135:B140"/>
    <mergeCell ref="C135:C136"/>
    <mergeCell ref="C137:C138"/>
    <mergeCell ref="C139:C140"/>
    <mergeCell ref="R146:S146"/>
    <mergeCell ref="B143:C143"/>
    <mergeCell ref="I135:I140"/>
    <mergeCell ref="R144:S144"/>
    <mergeCell ref="R143:S143"/>
    <mergeCell ref="AO151:AP151"/>
    <mergeCell ref="B141:C141"/>
    <mergeCell ref="R141:S141"/>
    <mergeCell ref="Y141:Z141"/>
    <mergeCell ref="Y146:Z146"/>
    <mergeCell ref="B144:C144"/>
    <mergeCell ref="B142:C142"/>
    <mergeCell ref="Y144:Z144"/>
    <mergeCell ref="B147:B148"/>
    <mergeCell ref="R147:R148"/>
    <mergeCell ref="AO158:AO159"/>
    <mergeCell ref="I147:I148"/>
    <mergeCell ref="I142:J142"/>
    <mergeCell ref="I143:J143"/>
    <mergeCell ref="I144:J144"/>
    <mergeCell ref="AO155:AO157"/>
    <mergeCell ref="AH151:AI151"/>
    <mergeCell ref="Y151:Z151"/>
    <mergeCell ref="Y142:Z142"/>
    <mergeCell ref="Y147:Y148"/>
    <mergeCell ref="AI189:AI190"/>
    <mergeCell ref="AI185:AI186"/>
    <mergeCell ref="AI187:AI188"/>
    <mergeCell ref="AH185:AH190"/>
    <mergeCell ref="AH197:AH198"/>
    <mergeCell ref="AH196:AI196"/>
    <mergeCell ref="AI209:AI210"/>
    <mergeCell ref="AH192:AI192"/>
    <mergeCell ref="Y143:Z143"/>
    <mergeCell ref="I130:I132"/>
    <mergeCell ref="I133:I134"/>
    <mergeCell ref="J135:J136"/>
    <mergeCell ref="J137:J138"/>
    <mergeCell ref="J139:J140"/>
    <mergeCell ref="I141:J141"/>
    <mergeCell ref="R142:S142"/>
    <mergeCell ref="S160:S161"/>
    <mergeCell ref="I126:J126"/>
    <mergeCell ref="AH166:AI166"/>
    <mergeCell ref="AI162:AI163"/>
    <mergeCell ref="Z160:Z161"/>
    <mergeCell ref="I146:J146"/>
    <mergeCell ref="R151:S151"/>
    <mergeCell ref="AH155:AH157"/>
    <mergeCell ref="Y135:Y140"/>
    <mergeCell ref="Y155:Y157"/>
    <mergeCell ref="Y158:Y159"/>
    <mergeCell ref="Z139:Z140"/>
    <mergeCell ref="Z162:Z163"/>
    <mergeCell ref="AH160:AH165"/>
    <mergeCell ref="AH158:AH159"/>
    <mergeCell ref="AH167:AI167"/>
    <mergeCell ref="AH168:AI168"/>
    <mergeCell ref="AH169:AI169"/>
    <mergeCell ref="AI164:AI165"/>
    <mergeCell ref="AP162:AP163"/>
    <mergeCell ref="AH171:AI171"/>
    <mergeCell ref="AO166:AP166"/>
    <mergeCell ref="AO160:AO165"/>
    <mergeCell ref="AP160:AP161"/>
    <mergeCell ref="AI160:AI161"/>
    <mergeCell ref="AO217:AP217"/>
    <mergeCell ref="AO167:AP167"/>
    <mergeCell ref="AO171:AP171"/>
    <mergeCell ref="AO176:AP176"/>
    <mergeCell ref="AP164:AP165"/>
    <mergeCell ref="AO172:AO173"/>
    <mergeCell ref="AP185:AP186"/>
    <mergeCell ref="AO183:AO184"/>
    <mergeCell ref="AO180:AO182"/>
    <mergeCell ref="AO185:AO190"/>
    <mergeCell ref="Z189:Z190"/>
    <mergeCell ref="AO197:AO198"/>
    <mergeCell ref="AI211:AI212"/>
    <mergeCell ref="AH207:AH208"/>
    <mergeCell ref="Y259:Y260"/>
    <mergeCell ref="S253:S254"/>
    <mergeCell ref="AO191:AP191"/>
    <mergeCell ref="AO222:AO224"/>
    <mergeCell ref="AO196:AP196"/>
    <mergeCell ref="AI213:AI214"/>
    <mergeCell ref="Y246:Y248"/>
    <mergeCell ref="J185:J186"/>
    <mergeCell ref="J187:J188"/>
    <mergeCell ref="S185:S186"/>
    <mergeCell ref="R185:R190"/>
    <mergeCell ref="R192:S192"/>
    <mergeCell ref="Y192:Z192"/>
    <mergeCell ref="S189:S190"/>
    <mergeCell ref="Y185:Y190"/>
    <mergeCell ref="Z185:Z186"/>
    <mergeCell ref="Z253:Z254"/>
    <mergeCell ref="Y249:Y250"/>
    <mergeCell ref="Y227:Y229"/>
    <mergeCell ref="Y222:Y223"/>
    <mergeCell ref="B207:B208"/>
    <mergeCell ref="R259:R260"/>
    <mergeCell ref="R251:R256"/>
    <mergeCell ref="R249:R250"/>
    <mergeCell ref="R246:R248"/>
    <mergeCell ref="Y251:Y256"/>
    <mergeCell ref="Y180:Y182"/>
    <mergeCell ref="B197:B198"/>
    <mergeCell ref="I217:J217"/>
    <mergeCell ref="C209:C210"/>
    <mergeCell ref="S251:S252"/>
    <mergeCell ref="Y217:Z217"/>
    <mergeCell ref="R193:S193"/>
    <mergeCell ref="R242:S242"/>
    <mergeCell ref="Y193:Z193"/>
    <mergeCell ref="Y194:Z194"/>
    <mergeCell ref="Z187:Z188"/>
    <mergeCell ref="Y160:Y165"/>
    <mergeCell ref="Y172:Y173"/>
    <mergeCell ref="Y183:Y184"/>
    <mergeCell ref="Z164:Z165"/>
    <mergeCell ref="Y171:Z171"/>
    <mergeCell ref="Y166:Z166"/>
    <mergeCell ref="Y168:Z168"/>
    <mergeCell ref="Y169:Z169"/>
    <mergeCell ref="Y167:Z167"/>
    <mergeCell ref="Y191:Z191"/>
    <mergeCell ref="R183:R184"/>
    <mergeCell ref="R168:S168"/>
    <mergeCell ref="S187:S188"/>
    <mergeCell ref="R191:S191"/>
    <mergeCell ref="Z255:Z256"/>
    <mergeCell ref="R172:R173"/>
    <mergeCell ref="R197:R198"/>
    <mergeCell ref="R194:S194"/>
    <mergeCell ref="Y176:Z176"/>
  </mergeCells>
  <printOptions/>
  <pageMargins left="0.75" right="0.75" top="1" bottom="1" header="0.5" footer="0.5"/>
  <pageSetup horizontalDpi="300" verticalDpi="300" orientation="portrait" paperSize="9" r:id="rId4"/>
  <ignoredErrors>
    <ignoredError sqref="D30" 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New View of Statistics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Analysis of controlled trials</dc:title>
  <dc:subject/>
  <dc:creator>Will Hopkins</dc:creator>
  <cp:keywords/>
  <dc:description/>
  <cp:lastModifiedBy>Ken Wilson</cp:lastModifiedBy>
  <dcterms:created xsi:type="dcterms:W3CDTF">2003-10-13T20:09:38Z</dcterms:created>
  <dcterms:modified xsi:type="dcterms:W3CDTF">2014-07-14T11:53:37Z</dcterms:modified>
  <cp:category/>
  <cp:version/>
  <cp:contentType/>
  <cp:contentStatus/>
</cp:coreProperties>
</file>