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2" yWindow="396" windowWidth="10980" windowHeight="7116" tabRatio="567" activeTab="0"/>
  </bookViews>
  <sheets>
    <sheet name="Sheet 1" sheetId="1" r:id="rId1"/>
  </sheets>
  <definedNames/>
  <calcPr fullCalcOnLoad="1"/>
</workbook>
</file>

<file path=xl/comments1.xml><?xml version="1.0" encoding="utf-8"?>
<comments xmlns="http://schemas.openxmlformats.org/spreadsheetml/2006/main">
  <authors>
    <author>Hopkins</author>
    <author>Reviewer</author>
    <author>whopkins</author>
  </authors>
  <commentList>
    <comment ref="C23" authorId="0">
      <text>
        <r>
          <rPr>
            <sz val="8"/>
            <rFont val="Tahoma"/>
            <family val="2"/>
          </rPr>
          <t>This value can be positive or negative.  
The default shown is for the smallest important change to be similar in magnitude to the within-subject error.  THIS IS NOT A RATIONALE FOR CHOOSING THE SMALLEST CHANGE. It merely illustrates that you generally need much smaller sample sizes for crossovers and controlled trials than for cross-sectional and other non-experimental studies.
Options for choosing the smallest important change are:  (a) 0.20 of the between-subject SD (Cohen's smallest important effect); (b) clinical experience; and (c) for performance, a value derived from analysis of competitions.</t>
        </r>
      </text>
    </comment>
    <comment ref="D23" authorId="0">
      <text>
        <r>
          <rPr>
            <sz val="8"/>
            <rFont val="Tahoma"/>
            <family val="2"/>
          </rPr>
          <t xml:space="preserve">This default is the smallest harmful change, with opposite sign. </t>
        </r>
      </text>
    </comment>
    <comment ref="E23" authorId="0">
      <text>
        <r>
          <rPr>
            <sz val="8"/>
            <rFont val="Tahoma"/>
            <family val="2"/>
          </rPr>
          <t>Also known as the standard error of measurement.  Estimated from a reliability study with conditions comparable to the crossover.  If you have a retest correlation coefficient r, the typical error = SD*sqrt(1-r), where SD is the between-subject standard deviation.  The typical error is also the SD of the change scores divided by root 2.
Make sure this number is in the same units as the smallest important values.
You can also estimate it from a published study using similar subjects, methods and dependent variable (and not necessarily the same kind of intervention). See cells above right.</t>
        </r>
      </text>
    </comment>
    <comment ref="M23" authorId="1">
      <text>
        <r>
          <rPr>
            <sz val="8"/>
            <rFont val="Tahoma"/>
            <family val="2"/>
          </rPr>
          <t>The value shown is the "decision" value: values either side of this value lead to decisions to use or not to use the effect, for the sample size shown.</t>
        </r>
      </text>
    </comment>
    <comment ref="Q23" authorId="1">
      <text>
        <r>
          <rPr>
            <sz val="8"/>
            <rFont val="Tahoma"/>
            <family val="2"/>
          </rPr>
          <t>Value shown is the smallest harmful value.</t>
        </r>
      </text>
    </comment>
    <comment ref="R23" authorId="1">
      <text>
        <r>
          <rPr>
            <sz val="8"/>
            <rFont val="Tahoma"/>
            <family val="2"/>
          </rPr>
          <t>Value shown is the smallest beneficial value.</t>
        </r>
      </text>
    </comment>
    <comment ref="F31" authorId="1">
      <text>
        <r>
          <rPr>
            <sz val="8"/>
            <rFont val="Tahoma"/>
            <family val="2"/>
          </rPr>
          <t>Usually 50%, which gives the smallest overall sample size.</t>
        </r>
      </text>
    </comment>
    <comment ref="C39" authorId="0">
      <text>
        <r>
          <rPr>
            <sz val="8"/>
            <rFont val="Tahoma"/>
            <family val="2"/>
          </rPr>
          <t>This value can be positive or negative.  
The default value of 0.20 is for a study in which the smallest important difference is Cohen's standardized value of 0.20 of the between-subject standard deviation. The between-subject SD is therefore set to 1.0.</t>
        </r>
      </text>
    </comment>
    <comment ref="D39" authorId="0">
      <text>
        <r>
          <rPr>
            <sz val="8"/>
            <rFont val="Tahoma"/>
            <family val="2"/>
          </rPr>
          <t xml:space="preserve">This default is the smallest harmful change, with opposite sign.  </t>
        </r>
      </text>
    </comment>
    <comment ref="F39" authorId="1">
      <text>
        <r>
          <rPr>
            <sz val="8"/>
            <rFont val="Tahoma"/>
            <family val="2"/>
          </rPr>
          <t>Usually 50%, which gives the smallest overall sample size.</t>
        </r>
      </text>
    </comment>
    <comment ref="C47" authorId="1">
      <text>
        <r>
          <rPr>
            <sz val="8"/>
            <rFont val="Tahoma"/>
            <family val="2"/>
          </rPr>
          <t>This value can be positive or negative.  
The default value is 0.10, which is the smallest important correlation, according to Cohen.</t>
        </r>
      </text>
    </comment>
    <comment ref="D47" authorId="1">
      <text>
        <r>
          <rPr>
            <sz val="8"/>
            <rFont val="Tahoma"/>
            <family val="2"/>
          </rPr>
          <t xml:space="preserve">This default is the smallest harmful correlation, with opposite sign.  
</t>
        </r>
      </text>
    </comment>
    <comment ref="C77" authorId="1">
      <text>
        <r>
          <rPr>
            <sz val="8"/>
            <rFont val="Tahoma"/>
            <family val="2"/>
          </rPr>
          <t>This value must be positive but it can be greater or less than 1.00.  The default value is 1.11 (=10/9) or its inverse 0.90 (=9/10), which represents one occurrence or event in 10 being due to something.
Note that the odds ratio as calculated is actually a hazard ratio when each control or handful of controls is sampled at the time that each case occurs (so-called incidence density sampling).  If controls are sampled at the end of the study, the odds ratio is indeed an odds ratio.  If the prevalence, incidence or proportion of cases in the population is low (&lt;10%), the odds and hazard ratios are practically identical and can be interpreted as relative risk. Note that the prevalence, incidence or proportion of cases in the population is not entered into the spreadsheet.</t>
        </r>
      </text>
    </comment>
    <comment ref="D77" authorId="1">
      <text>
        <r>
          <rPr>
            <sz val="8"/>
            <rFont val="Tahoma"/>
            <family val="2"/>
          </rPr>
          <t>The default is the inverse of the smallest harmful odds ratio.</t>
        </r>
      </text>
    </comment>
    <comment ref="F77" authorId="1">
      <text>
        <r>
          <rPr>
            <sz val="8"/>
            <rFont val="Tahoma"/>
            <family val="2"/>
          </rPr>
          <t>For equal-sized samples of cases and controls, set to 50% (which gives the smallest overall sample size).  If 1 case per 3 controls, set to 25%, and so on.</t>
        </r>
      </text>
    </comment>
    <comment ref="E92" authorId="0">
      <text>
        <r>
          <rPr>
            <sz val="8"/>
            <rFont val="Tahoma"/>
            <family val="2"/>
          </rPr>
          <t>Also known as the standard error of measurement.  Estimated from a reliability study with conditions comparable to the crossover.  If you have a retest correlation coefficient r, the typical error = SD*sqrt(1-r), where SD is the between-subject standard deviation.  The typical error is also the SD of the change scores divided by root 2.
Make sure this number is in the same units as the smallest important change.
You can also estimate it from a published study using similar subjects, methods and dependent variable (and not necessarily the same kind of intervention). See cells above right.</t>
        </r>
      </text>
    </comment>
    <comment ref="E100" authorId="0">
      <text>
        <r>
          <rPr>
            <sz val="8"/>
            <rFont val="Tahoma"/>
            <family val="2"/>
          </rPr>
          <t>Also known as the standard error of measurement.  Estimated from a reliability study with conditions comparable to the experiment.  If you have a retest correlation coefficient r, the typical error = SD*sqrt(1-r), where SD is the between-subject standard deviation.  The typical error is also the SD of the change scores divided by root 2.
You can also estimate it from a published study using similar subjects, methods and dependent variable (and not necessarily the same kind of intervention). See cells above right.</t>
        </r>
      </text>
    </comment>
    <comment ref="F100" authorId="1">
      <text>
        <r>
          <rPr>
            <sz val="8"/>
            <rFont val="Tahoma"/>
            <family val="2"/>
          </rPr>
          <t>Usually 50%.</t>
        </r>
      </text>
    </comment>
    <comment ref="F108" authorId="1">
      <text>
        <r>
          <rPr>
            <sz val="8"/>
            <rFont val="Tahoma"/>
            <family val="2"/>
          </rPr>
          <t>Usually 50%.</t>
        </r>
      </text>
    </comment>
    <comment ref="F146" authorId="1">
      <text>
        <r>
          <rPr>
            <sz val="8"/>
            <rFont val="Tahoma"/>
            <family val="2"/>
          </rPr>
          <t>For equal-sized samples of cases and controls, set to 50%.  If 1 case per 3 controls, set to 25%, and so on.</t>
        </r>
      </text>
    </comment>
    <comment ref="C116" authorId="1">
      <text>
        <r>
          <rPr>
            <sz val="8"/>
            <rFont val="Tahoma"/>
            <family val="2"/>
          </rPr>
          <t>This value can be positive or negative.
The default value is 0.10, which is the smallest important correlation, according to Cohen.</t>
        </r>
      </text>
    </comment>
    <comment ref="G18" authorId="1">
      <text>
        <r>
          <rPr>
            <sz val="8"/>
            <rFont val="Tahoma"/>
            <family val="2"/>
          </rPr>
          <t>Chance or rate of getting a result that makes you think the effect is beneficial when in reality it is the smallest harmful effect.</t>
        </r>
      </text>
    </comment>
    <comment ref="H18" authorId="1">
      <text>
        <r>
          <rPr>
            <sz val="8"/>
            <rFont val="Tahoma"/>
            <family val="2"/>
          </rPr>
          <t>Chance or rate of getting a result that makes you think the effect is not beneficial when in reality it is the smallest beneficial effect.</t>
        </r>
      </text>
    </comment>
    <comment ref="G87" authorId="1">
      <text>
        <r>
          <rPr>
            <sz val="8"/>
            <rFont val="Tahoma"/>
            <family val="2"/>
          </rPr>
          <t>Rate (%) of null effect turning up statistically significant.</t>
        </r>
      </text>
    </comment>
    <comment ref="H87" authorId="1">
      <text>
        <r>
          <rPr>
            <sz val="8"/>
            <rFont val="Tahoma"/>
            <family val="2"/>
          </rPr>
          <t>Rate (%) of smallest effect not turning out statistically significant.</t>
        </r>
      </text>
    </comment>
    <comment ref="M92" authorId="1">
      <text>
        <r>
          <rPr>
            <sz val="8"/>
            <rFont val="Tahoma"/>
            <family val="2"/>
          </rPr>
          <t>The value shown is the "critical" value: values greater than this value produce statistical significance.</t>
        </r>
      </text>
    </comment>
    <comment ref="G16" authorId="1">
      <text>
        <r>
          <rPr>
            <sz val="9"/>
            <rFont val="Tahoma"/>
            <family val="2"/>
          </rPr>
          <t>If you are doing a study in which benefit and harm are important, you will decide to make use of the effect when there is a low chance of harm (e.g., 0.5% at most) and a reasonable chance of benefit (e.g., 25% at least).   These chances become the Type 1 and 2 error rates if the value you get in your study is equal to the "decision value": if you decide to use the effect,  there is a Type 1 chance (0.5%, or "most unlikely") that your subjects will suffer harm; if you decide not to use the effect, there is a Type 2 chance (25%, or "unlikely") that your subjects will miss out on benefit.  These defaults give sample sizes similar to those of mechanisms studies designed around 90% confidence limits (see below).
If you are doing a mechanisms or other study in which the outcome statistic does not have benefit or harm, the rationale for the sample size is as follows:  you don't want the confidence interval to overlap into substantial positive and substantial negative values in the worst-case scenario of an observed zero or null effect.  To get the sample size for this kind of study, set the Type 1 and Type 2 errors both to 5%.  Check out the confidence limits of the resulting outcome in your subsequent study when you insert a chosen observed value of 0  (or 1 for ratios).</t>
        </r>
      </text>
    </comment>
    <comment ref="M31" authorId="1">
      <text>
        <r>
          <rPr>
            <sz val="8"/>
            <rFont val="Tahoma"/>
            <family val="2"/>
          </rPr>
          <t>The value shown is the "decision" value: values either side of this value lead to decisions to use or not to use the effect, for the sample size shown.</t>
        </r>
      </text>
    </comment>
    <comment ref="M39" authorId="1">
      <text>
        <r>
          <rPr>
            <sz val="8"/>
            <rFont val="Tahoma"/>
            <family val="2"/>
          </rPr>
          <t>The value shown is the "decision" value: values either side of this value lead to decisions to use or not to use the effect, for the sample size shown.</t>
        </r>
      </text>
    </comment>
    <comment ref="M47" authorId="1">
      <text>
        <r>
          <rPr>
            <sz val="8"/>
            <rFont val="Tahoma"/>
            <family val="2"/>
          </rPr>
          <t>The value shown is the "decision" value: values either side of this value lead to decisions to use or not to use the effect, for the sample size shown.</t>
        </r>
      </text>
    </comment>
    <comment ref="M77" authorId="1">
      <text>
        <r>
          <rPr>
            <sz val="8"/>
            <rFont val="Tahoma"/>
            <family val="2"/>
          </rPr>
          <t>The value shown is the "decision" value: values either side of this value lead to decisions to use or not to use the effect, for the sample size shown.</t>
        </r>
      </text>
    </comment>
    <comment ref="E31" authorId="0">
      <text>
        <r>
          <rPr>
            <sz val="8"/>
            <rFont val="Tahoma"/>
            <family val="2"/>
          </rPr>
          <t>Also known as the standard error of measurement.  Estimated from a reliability study with conditions comparable to the controlled trial.  If you have a retest correlation coefficient r, the typical error = SD*sqrt(1-r), where SD is the between-subject standard deviation.  The typical error is also the SD of the change scores divided by root 2.
Make sure this number is in the same units as the smallest important values.
You can also estimate it from a published study using similar subjects, methods and dependent variable (and not necessarily the same kind of intervention). See cells above right.</t>
        </r>
      </text>
    </comment>
    <comment ref="D31" authorId="0">
      <text>
        <r>
          <rPr>
            <sz val="8"/>
            <rFont val="Tahoma"/>
            <family val="2"/>
          </rPr>
          <t>This default is the smallest harmful change, with opposite sign.  
If you want to use the smallest standardized (Cohen) change of 0.20, you must also insert the typical error expressed as a fraction of the between-subject SD.</t>
        </r>
      </text>
    </comment>
    <comment ref="E39" authorId="1">
      <text>
        <r>
          <rPr>
            <sz val="8"/>
            <rFont val="Tahoma"/>
            <family val="2"/>
          </rPr>
          <t xml:space="preserve">The default of 1.00 is appropriate if you are using a smallest standardized (Cohen) effect of 0.20.
Otherwise make sure this number is in the same units as the smallest important values.
</t>
        </r>
      </text>
    </comment>
    <comment ref="C92" authorId="0">
      <text>
        <r>
          <rPr>
            <sz val="8"/>
            <rFont val="Tahoma"/>
            <family val="2"/>
          </rPr>
          <t>This value can be positive or negative.  
The default shown is for the smallest important change to be similar in magnitude to the within-subject error.  THIS IS NOT A RATIONALE FOR CHOOSING THE SMALLEST CHANGE, It merely illustrates that you generally need much smaller sample sizes for crossovers and controlled trials than for cross-sectional and other non-experimental studies.
Options for choosing the smallest important change are:  (a) 0.20 of the between-subject SD (Cohen's smallest important effect); (b) clinical experience; and (c) for performance, a value derived from analysis of competitions.</t>
        </r>
      </text>
    </comment>
    <comment ref="C100" authorId="0">
      <text>
        <r>
          <rPr>
            <sz val="8"/>
            <rFont val="Tahoma"/>
            <family val="2"/>
          </rPr>
          <t>This value can be positive or negative.  
The default shown is for the smallest important change to be similar in magnitude to the within-subject error.  THIS IS NOT A RATIONALE FOR CHOOSING THE SMALLEST CHANGE, It merely illustrates that you generally need much smaller sample sizes for crossovers and controlled trials than for cross-sectional and other non-experimental studies.
Options for choosing the smallest important change are:  (a) 0.20 of the between-subject SD (Cohen's smallest important effect); (b) clinical experience; and (c) for performance, a value derived from analysis of competitions.</t>
        </r>
      </text>
    </comment>
    <comment ref="C108" authorId="0">
      <text>
        <r>
          <rPr>
            <sz val="8"/>
            <rFont val="Tahoma"/>
            <family val="2"/>
          </rPr>
          <t>This value can be positive or negative.  
The default value of 0.20 is for a study in which the smallest important difference is Cohen's standardized value of 0.20 of the between-subject standard deviation. The between-subject SD is therefore set to 1.0.</t>
        </r>
      </text>
    </comment>
    <comment ref="M100" authorId="1">
      <text>
        <r>
          <rPr>
            <sz val="8"/>
            <rFont val="Tahoma"/>
            <family val="2"/>
          </rPr>
          <t>The value shown is the "critical" value: values greater than this value produce statistical significance.</t>
        </r>
      </text>
    </comment>
    <comment ref="M108" authorId="1">
      <text>
        <r>
          <rPr>
            <sz val="8"/>
            <rFont val="Tahoma"/>
            <family val="2"/>
          </rPr>
          <t>The value shown is the "critical" value: values greater than this value produce statistical significance.</t>
        </r>
      </text>
    </comment>
    <comment ref="M116" authorId="1">
      <text>
        <r>
          <rPr>
            <sz val="8"/>
            <rFont val="Tahoma"/>
            <family val="2"/>
          </rPr>
          <t>The value shown is the "critical" value: values greater than this value produce statistical significance.</t>
        </r>
      </text>
    </comment>
    <comment ref="M127" authorId="1">
      <text>
        <r>
          <rPr>
            <sz val="8"/>
            <rFont val="Tahoma"/>
            <family val="2"/>
          </rPr>
          <t>The value shown is the "critical" value: values greater than this value produce statistical significance.</t>
        </r>
      </text>
    </comment>
    <comment ref="M146" authorId="1">
      <text>
        <r>
          <rPr>
            <sz val="8"/>
            <rFont val="Tahoma"/>
            <family val="2"/>
          </rPr>
          <t>The value shown is the "critical" value: values greater than this value produce statistical significance.</t>
        </r>
      </text>
    </comment>
    <comment ref="W23" authorId="1">
      <text>
        <r>
          <rPr>
            <sz val="8"/>
            <rFont val="Tahoma"/>
            <family val="2"/>
          </rPr>
          <t>These are evaluated on the assumption that the smallest beneficial effect = -smallest harmful effect.  The bug in TDIST otherwise makes the formula for the unclear chances too complex.
Unclear + trivial + any non-trivial = 100%.</t>
        </r>
      </text>
    </comment>
    <comment ref="AA24" authorId="1">
      <text>
        <r>
          <rPr>
            <sz val="8"/>
            <rFont val="Tahoma"/>
            <family val="2"/>
          </rPr>
          <t xml:space="preserve">"Very likely" means that the confidence interval of the observed effect does not overlap the smallest important effect.  For 90% confidence limits, it means there is at least a 95% chance the effect is non-trivial.  </t>
        </r>
      </text>
    </comment>
    <comment ref="Z24" authorId="1">
      <text>
        <r>
          <rPr>
            <sz val="8"/>
            <rFont val="Tahoma"/>
            <family val="2"/>
          </rPr>
          <t>"Likely" means that there is at least a 75% chance the effect is non-trivial.</t>
        </r>
      </text>
    </comment>
    <comment ref="Y24" authorId="1">
      <text>
        <r>
          <rPr>
            <sz val="8"/>
            <rFont val="Tahoma"/>
            <family val="2"/>
          </rPr>
          <t>"Any" means that the observed effect is non-trivial and clear.  It also meams there is at least a 50% chance the effect is non-trivial.</t>
        </r>
      </text>
    </comment>
    <comment ref="X24" authorId="1">
      <text>
        <r>
          <rPr>
            <sz val="8"/>
            <rFont val="Tahoma"/>
            <family val="2"/>
          </rPr>
          <t>"Trivial" means the observed effect is trivial and clear.  Depending on the sample size, the effect will be possibly trivial, likely trivial, very likely trivial, or even almost certainly trivial.</t>
        </r>
      </text>
    </comment>
    <comment ref="W24" authorId="1">
      <text>
        <r>
          <rPr>
            <sz val="8"/>
            <rFont val="Tahoma"/>
            <family val="2"/>
          </rPr>
          <t>"Unclear" means the confidence interval overlaps the smallest positive and smallest negative effects.  For 90% limits, it also means there is &gt;5% chance the effect is non-trivial positive and &gt;5% chance it is non-trivial negative.</t>
        </r>
      </text>
    </comment>
    <comment ref="V23" authorId="1">
      <text>
        <r>
          <rPr>
            <sz val="8"/>
            <rFont val="Tahoma"/>
            <family val="2"/>
          </rPr>
          <t>In other words, you will observe that the chance of harm is &lt;Type 1 error and the chance of benefit is &gt;Type 2 error.</t>
        </r>
      </text>
    </comment>
    <comment ref="V47" authorId="1">
      <text>
        <r>
          <rPr>
            <sz val="8"/>
            <rFont val="Tahoma"/>
            <family val="2"/>
          </rPr>
          <t>In other words, you will observe that the chance of harm is &lt;Type 1 error and the chance of benefit is &gt;Type 2 error.</t>
        </r>
      </text>
    </comment>
    <comment ref="W47" authorId="1">
      <text>
        <r>
          <rPr>
            <sz val="8"/>
            <rFont val="Tahoma"/>
            <family val="2"/>
          </rPr>
          <t>These are evaluated on the assumption that the smallest beneficial effect = -smallest harmful effect. 
Unclear + trivial + any non-trivial = 100%.</t>
        </r>
      </text>
    </comment>
    <comment ref="W48" authorId="1">
      <text>
        <r>
          <rPr>
            <sz val="8"/>
            <rFont val="Tahoma"/>
            <family val="2"/>
          </rPr>
          <t>"Unclear" means the confidence interval overlaps the smallest positive and smallest negative effects.  For 90% limits, it also means there is &gt;5% chance the effect is non-trivial positive and &gt;5% chance it is non-trivial negative.</t>
        </r>
      </text>
    </comment>
    <comment ref="X48" authorId="1">
      <text>
        <r>
          <rPr>
            <sz val="8"/>
            <rFont val="Tahoma"/>
            <family val="2"/>
          </rPr>
          <t>"Trivial" means the observed effect is trivial and clear.  Depending on the sample size, the effect will be possibly trivial, likely trivial, very likely trivial, or even almost certainly trivial.</t>
        </r>
      </text>
    </comment>
    <comment ref="Y48" authorId="1">
      <text>
        <r>
          <rPr>
            <sz val="8"/>
            <rFont val="Tahoma"/>
            <family val="2"/>
          </rPr>
          <t>"Any" means that the observed effect is non-trivial and clear.  It also meams there is at least a 50% chance the effect is non-trivial.</t>
        </r>
      </text>
    </comment>
    <comment ref="Z48" authorId="1">
      <text>
        <r>
          <rPr>
            <sz val="8"/>
            <rFont val="Tahoma"/>
            <family val="2"/>
          </rPr>
          <t>"Likely" means that there is at least a 75% chance the effect is non-trivial.</t>
        </r>
      </text>
    </comment>
    <comment ref="AA48" authorId="1">
      <text>
        <r>
          <rPr>
            <sz val="8"/>
            <rFont val="Tahoma"/>
            <family val="2"/>
          </rPr>
          <t xml:space="preserve">"Very likely" means that the confidence interval of the observed effect does not overlap the smallest important effect.  For 90% confidence limits, it means there is at least a 95% chance the effect is non-trivial.  </t>
        </r>
      </text>
    </comment>
    <comment ref="V77" authorId="1">
      <text>
        <r>
          <rPr>
            <sz val="8"/>
            <rFont val="Tahoma"/>
            <family val="2"/>
          </rPr>
          <t>In other words, you will observe that the chance of harm is &lt;Type 1 error and the chance of benefit is &gt;Type 2 error.</t>
        </r>
      </text>
    </comment>
    <comment ref="W78" authorId="1">
      <text>
        <r>
          <rPr>
            <sz val="8"/>
            <rFont val="Tahoma"/>
            <family val="2"/>
          </rPr>
          <t>"Unclear" means the confidence interval overlaps the smallest positive and smallest negative effects.  For 90% limits, it also means there is &gt;5% chance the effect is non-trivial positive and &gt;5% chance it is non-trivial negative.</t>
        </r>
      </text>
    </comment>
    <comment ref="X78" authorId="1">
      <text>
        <r>
          <rPr>
            <sz val="8"/>
            <rFont val="Tahoma"/>
            <family val="2"/>
          </rPr>
          <t>"Trivial" means the observed effect is trivial and clear.  Depending on the sample size, the effect will be possibly trivial, likely trivial, very likely trivial, or even almost certainly trivial.</t>
        </r>
      </text>
    </comment>
    <comment ref="Y78" authorId="1">
      <text>
        <r>
          <rPr>
            <sz val="8"/>
            <rFont val="Tahoma"/>
            <family val="2"/>
          </rPr>
          <t>"Any" means that the observed effect is non-trivial and clear.  It also meams there is at least a 50% chance the effect is non-trivial.</t>
        </r>
      </text>
    </comment>
    <comment ref="Z78" authorId="1">
      <text>
        <r>
          <rPr>
            <sz val="8"/>
            <rFont val="Tahoma"/>
            <family val="2"/>
          </rPr>
          <t>"Likely" means that there is at least a 75% chance the effect is non-trivial.</t>
        </r>
      </text>
    </comment>
    <comment ref="AA78" authorId="1">
      <text>
        <r>
          <rPr>
            <sz val="8"/>
            <rFont val="Tahoma"/>
            <family val="2"/>
          </rPr>
          <t xml:space="preserve">"Very likely" means that the confidence interval of the observed effect does not overlap the smallest important effect.  For 90% confidence limits, it means there is at least a 95% chance the effect is non-trivial.  </t>
        </r>
      </text>
    </comment>
    <comment ref="V31" authorId="1">
      <text>
        <r>
          <rPr>
            <sz val="8"/>
            <rFont val="Tahoma"/>
            <family val="2"/>
          </rPr>
          <t>In other words, you will observe that the chance of harm is &lt;Type 1 error and the chance of benefit is &gt;Type 2 error.</t>
        </r>
      </text>
    </comment>
    <comment ref="W31" authorId="1">
      <text>
        <r>
          <rPr>
            <sz val="8"/>
            <rFont val="Tahoma"/>
            <family val="2"/>
          </rPr>
          <t>These are evaluated on the assumption that the smallest beneficial effect = -smallest harmful effect.  The bug in TDIST otherwise makes the formula for the unclear chances too complex.
Unclear + trivial + any non-trivial = 100%.</t>
        </r>
      </text>
    </comment>
    <comment ref="W32" authorId="1">
      <text>
        <r>
          <rPr>
            <sz val="8"/>
            <rFont val="Tahoma"/>
            <family val="2"/>
          </rPr>
          <t>"Unclear" means the confidence interval overlaps the smallest positive and smallest negative effects.  For 90% limits, it also means there is &gt;5% chance the effect is non-trivial positive and &gt;5% chance it is non-trivial negative.</t>
        </r>
      </text>
    </comment>
    <comment ref="X32" authorId="1">
      <text>
        <r>
          <rPr>
            <sz val="8"/>
            <rFont val="Tahoma"/>
            <family val="2"/>
          </rPr>
          <t>"Trivial" means the observed effect is trivial and clear.  Depending on the sample size, the effect will be possibly trivial, likely trivial, very likely trivial, or even almost certainly trivial.</t>
        </r>
      </text>
    </comment>
    <comment ref="Y32" authorId="1">
      <text>
        <r>
          <rPr>
            <sz val="8"/>
            <rFont val="Tahoma"/>
            <family val="2"/>
          </rPr>
          <t>"Any" means that the observed effect is non-trivial and clear.  It also meams there is at least a 50% chance the effect is non-trivial.</t>
        </r>
      </text>
    </comment>
    <comment ref="Z32" authorId="1">
      <text>
        <r>
          <rPr>
            <sz val="8"/>
            <rFont val="Tahoma"/>
            <family val="2"/>
          </rPr>
          <t>"Likely" means that there is at least a 75% chance the effect is non-trivial.</t>
        </r>
      </text>
    </comment>
    <comment ref="AA32" authorId="1">
      <text>
        <r>
          <rPr>
            <sz val="8"/>
            <rFont val="Tahoma"/>
            <family val="2"/>
          </rPr>
          <t xml:space="preserve">"Very likely" means that the confidence interval of the observed effect does not overlap the smallest important effect.  For 90% confidence limits, it means there is at least a 95% chance the effect is non-trivial.  </t>
        </r>
      </text>
    </comment>
    <comment ref="V39" authorId="1">
      <text>
        <r>
          <rPr>
            <sz val="8"/>
            <rFont val="Tahoma"/>
            <family val="2"/>
          </rPr>
          <t>In other words, you will observe that the chance of harm is &lt;Type 1 error and the chance of benefit is &gt;Type 2 error.</t>
        </r>
      </text>
    </comment>
    <comment ref="W39" authorId="1">
      <text>
        <r>
          <rPr>
            <sz val="8"/>
            <rFont val="Tahoma"/>
            <family val="2"/>
          </rPr>
          <t>These are evaluated on the assumption that the smallest beneficial effect = -smallest harmful effect.  The bug in TDIST otherwise makes the formula for the unclear chances too complex.
Unclear + trivial + any non-trivial = 100%.</t>
        </r>
      </text>
    </comment>
    <comment ref="W40" authorId="1">
      <text>
        <r>
          <rPr>
            <sz val="8"/>
            <rFont val="Tahoma"/>
            <family val="2"/>
          </rPr>
          <t>"Unclear" means the confidence interval overlaps the smallest positive and smallest negative effects.  For 90% limits, it also means there is &gt;5% chance the effect is non-trivial positive and &gt;5% chance it is non-trivial negative.</t>
        </r>
      </text>
    </comment>
    <comment ref="X40" authorId="1">
      <text>
        <r>
          <rPr>
            <sz val="8"/>
            <rFont val="Tahoma"/>
            <family val="2"/>
          </rPr>
          <t>"Trivial" means the observed effect is trivial and clear.  Depending on the sample size, the effect will be possibly trivial, likely trivial, very likely trivial, or even almost certainly trivial.</t>
        </r>
      </text>
    </comment>
    <comment ref="Y40" authorId="1">
      <text>
        <r>
          <rPr>
            <sz val="8"/>
            <rFont val="Tahoma"/>
            <family val="2"/>
          </rPr>
          <t>"Any" means that the observed effect is non-trivial and clear.  It also meams there is at least a 50% chance the effect is non-trivial.</t>
        </r>
      </text>
    </comment>
    <comment ref="Z40" authorId="1">
      <text>
        <r>
          <rPr>
            <sz val="8"/>
            <rFont val="Tahoma"/>
            <family val="2"/>
          </rPr>
          <t>"Likely" means that there is at least a 75% chance the effect is non-trivial.</t>
        </r>
      </text>
    </comment>
    <comment ref="AA40" authorId="1">
      <text>
        <r>
          <rPr>
            <sz val="8"/>
            <rFont val="Tahoma"/>
            <family val="2"/>
          </rPr>
          <t xml:space="preserve">"Very likely" means that the confidence interval of the observed effect does not overlap the smallest important effect.  For 90% confidence limits, it means there is at least a 95% chance the effect is non-trivial.  </t>
        </r>
      </text>
    </comment>
    <comment ref="W77" authorId="1">
      <text>
        <r>
          <rPr>
            <sz val="8"/>
            <rFont val="Tahoma"/>
            <family val="2"/>
          </rPr>
          <t>These are evaluated on the assumption that the smallest beneficial effect = -smallest harmful effect. 
Unclear + trivial + any non-trivial = 100%.</t>
        </r>
      </text>
    </comment>
    <comment ref="C31" authorId="0">
      <text>
        <r>
          <rPr>
            <sz val="8"/>
            <rFont val="Tahoma"/>
            <family val="2"/>
          </rPr>
          <t>This value can be positive or negative.  
The default shown is for the smallest important change to be similar in magnitude to the within-subject error.  THIS IS NOT A RATIONALE FOR CHOOSING THE SMALLEST CHANGE. It merely illustrates that you generally need much smaller sample sizes for crossovers and controlled trials than for cross-sectional and other non-experimental studies.
Options for choosing the smallest important change are:  (a) 0.20 of the between-subject SD (Cohen's smallest important effect); (b) clinical experience; and (c) for performance, a value derived from analysis of competitions.</t>
        </r>
      </text>
    </comment>
    <comment ref="D58" authorId="0">
      <text>
        <r>
          <rPr>
            <sz val="8"/>
            <rFont val="Tahoma"/>
            <family val="2"/>
          </rPr>
          <t>This default is the inverse of the smallest harmful count ratio.</t>
        </r>
      </text>
    </comment>
    <comment ref="M58" authorId="1">
      <text>
        <r>
          <rPr>
            <sz val="8"/>
            <rFont val="Tahoma"/>
            <family val="2"/>
          </rPr>
          <t>The value shown is the "decision" value: values either side of this value lead to decisions to use or not to use the effect, for the sample size shown.</t>
        </r>
      </text>
    </comment>
    <comment ref="V58" authorId="1">
      <text>
        <r>
          <rPr>
            <sz val="8"/>
            <rFont val="Tahoma"/>
            <family val="2"/>
          </rPr>
          <t>In other words, you will observe that the chance of harm is &lt;Type 1 error and the chance of benefit is &gt;Type 2 error.</t>
        </r>
      </text>
    </comment>
    <comment ref="W58" authorId="1">
      <text>
        <r>
          <rPr>
            <sz val="8"/>
            <rFont val="Tahoma"/>
            <family val="2"/>
          </rPr>
          <t>These are evaluated on the assumption that the smallest beneficial effect = -smallest harmful effect.  The bug in TDIST otherwise makes the formula for the unclear chances too complex.
Unclear + trivial + any non-trivial = 100%.</t>
        </r>
      </text>
    </comment>
    <comment ref="W59" authorId="1">
      <text>
        <r>
          <rPr>
            <sz val="8"/>
            <rFont val="Tahoma"/>
            <family val="2"/>
          </rPr>
          <t>"Unclear" means the confidence interval overlaps the smallest positive and smallest negative effects.  For 90% limits, it also means there is &gt;5% chance the effect is non-trivial positive and &gt;5% chance it is non-trivial negative.</t>
        </r>
      </text>
    </comment>
    <comment ref="X59" authorId="1">
      <text>
        <r>
          <rPr>
            <sz val="8"/>
            <rFont val="Tahoma"/>
            <family val="2"/>
          </rPr>
          <t>"Trivial" means the observed effect is trivial and clear.  Depending on the sample size, the effect will be possibly trivial, likely trivial, very likely trivial, or even almost certainly trivial.</t>
        </r>
      </text>
    </comment>
    <comment ref="Y59" authorId="1">
      <text>
        <r>
          <rPr>
            <sz val="8"/>
            <rFont val="Tahoma"/>
            <family val="2"/>
          </rPr>
          <t>"Any" means that the observed effect is non-trivial and clear.  It also meams there is at least a 50% chance the effect is non-trivial.</t>
        </r>
      </text>
    </comment>
    <comment ref="Z59" authorId="1">
      <text>
        <r>
          <rPr>
            <sz val="8"/>
            <rFont val="Tahoma"/>
            <family val="2"/>
          </rPr>
          <t>"Likely" means that there is at least a 75% chance the effect is non-trivial.</t>
        </r>
      </text>
    </comment>
    <comment ref="AA59" authorId="1">
      <text>
        <r>
          <rPr>
            <sz val="8"/>
            <rFont val="Tahoma"/>
            <family val="2"/>
          </rPr>
          <t xml:space="preserve">"Very likely" means that the confidence interval of the observed effect does not overlap the smallest important effect.  For 90% confidence limits, it means there is at least a 95% chance the effect is non-trivial.  </t>
        </r>
      </text>
    </comment>
    <comment ref="M69" authorId="1">
      <text>
        <r>
          <rPr>
            <sz val="8"/>
            <rFont val="Tahoma"/>
            <family val="2"/>
          </rPr>
          <t>The value shown is the "decision" value: values either side of this value lead to decisions to use or not to use the effect, for the sample size shown.</t>
        </r>
      </text>
    </comment>
    <comment ref="V69" authorId="1">
      <text>
        <r>
          <rPr>
            <sz val="8"/>
            <rFont val="Tahoma"/>
            <family val="2"/>
          </rPr>
          <t>In other words, you will observe that the chance of harm is &lt;Type 1 error and the chance of benefit is &gt;Type 2 error.</t>
        </r>
      </text>
    </comment>
    <comment ref="W69" authorId="1">
      <text>
        <r>
          <rPr>
            <sz val="8"/>
            <rFont val="Tahoma"/>
            <family val="2"/>
          </rPr>
          <t>These are evaluated on the assumption that the smallest beneficial effect = -smallest harmful effect. 
Unclear + trivial + any non-trivial = 100%.</t>
        </r>
      </text>
    </comment>
    <comment ref="W70" authorId="1">
      <text>
        <r>
          <rPr>
            <sz val="8"/>
            <rFont val="Tahoma"/>
            <family val="2"/>
          </rPr>
          <t>"Unclear" means the confidence interval overlaps the smallest positive and smallest negative effects.  For 90% limits, it also means there is &gt;5% chance the effect is non-trivial positive and &gt;5% chance it is non-trivial negative.</t>
        </r>
      </text>
    </comment>
    <comment ref="X70" authorId="1">
      <text>
        <r>
          <rPr>
            <sz val="8"/>
            <rFont val="Tahoma"/>
            <family val="2"/>
          </rPr>
          <t>"Trivial" means the observed effect is trivial and clear.  Depending on the sample size, the effect will be possibly trivial, likely trivial, very likely trivial, or even almost certainly trivial.</t>
        </r>
      </text>
    </comment>
    <comment ref="Y70" authorId="1">
      <text>
        <r>
          <rPr>
            <sz val="8"/>
            <rFont val="Tahoma"/>
            <family val="2"/>
          </rPr>
          <t>"Any" means that the observed effect is non-trivial and clear.  It also meams there is at least a 50% chance the effect is non-trivial.</t>
        </r>
      </text>
    </comment>
    <comment ref="Z70" authorId="1">
      <text>
        <r>
          <rPr>
            <sz val="8"/>
            <rFont val="Tahoma"/>
            <family val="2"/>
          </rPr>
          <t>"Likely" means that there is at least a 75% chance the effect is non-trivial.</t>
        </r>
      </text>
    </comment>
    <comment ref="AA70" authorId="1">
      <text>
        <r>
          <rPr>
            <sz val="8"/>
            <rFont val="Tahoma"/>
            <family val="2"/>
          </rPr>
          <t xml:space="preserve">"Very likely" means that the confidence interval of the observed effect does not overlap the smallest important effect.  For 90% confidence limits, it means there is at least a 95% chance the effect is non-trivial.  </t>
        </r>
      </text>
    </comment>
    <comment ref="M138" authorId="1">
      <text>
        <r>
          <rPr>
            <sz val="8"/>
            <rFont val="Tahoma"/>
            <family val="2"/>
          </rPr>
          <t>The value shown is the "critical" value: values greater than this value produce statistical significance.</t>
        </r>
      </text>
    </comment>
    <comment ref="F67" authorId="1">
      <text>
        <r>
          <rPr>
            <sz val="9"/>
            <rFont val="Tahoma"/>
            <family val="2"/>
          </rPr>
          <t>Usually 50% for group comparison studies and controlled trials.
For cohort studies, you must supply the appropriate prevalence for your study.</t>
        </r>
      </text>
    </comment>
    <comment ref="F57" authorId="1">
      <text>
        <r>
          <rPr>
            <sz val="9"/>
            <rFont val="Tahoma"/>
            <family val="2"/>
          </rPr>
          <t>Usually 50% for group comparison studies and controlled trials.
For cohort studies, you must supply the appropriate proportion for your study.</t>
        </r>
      </text>
    </comment>
    <comment ref="C58" authorId="1">
      <text>
        <r>
          <rPr>
            <sz val="8"/>
            <rFont val="Tahoma"/>
            <family val="2"/>
          </rPr>
          <t>This value must be positive but it can be greater or less than 1.00.  
The default smallest important value is 1.11 (=10/9) or its inverse 0.90 (=9/10), which represents one count in 10 being due to something.</t>
        </r>
      </text>
    </comment>
    <comment ref="C66" authorId="1">
      <text>
        <r>
          <rPr>
            <sz val="8"/>
            <rFont val="Tahoma"/>
            <family val="2"/>
          </rPr>
          <t>The default smallest important RR and HR is 1.11 (=10/9) or its inverse 0.90 (=9/10), which represents one occurrence or event in 10 being due to something.
For rare events (incidence or prevalence &lt;10%), the default smallest effect for an OR is the same as for RR and HR, because they are all effectively the same.
I don't have a rationale for a smallest risk difference.</t>
        </r>
      </text>
    </comment>
    <comment ref="C136" authorId="1">
      <text>
        <r>
          <rPr>
            <sz val="9"/>
            <rFont val="Tahoma"/>
            <family val="2"/>
          </rPr>
          <t>The default smallest important RR and HR is 1.11 (=10/9) or its inverse 0.90 (=9/10), which represents one occurrence or event in 10 being due to something.
For rare events (incidence or prevalence &lt;10%), the default smallest effect for an OR is the same as for RR and HR, because they are all effectively the same.
I don't have a rationale for a smallest risk difference.</t>
        </r>
      </text>
    </comment>
    <comment ref="D66" authorId="1">
      <text>
        <r>
          <rPr>
            <sz val="9"/>
            <rFont val="Tahoma"/>
            <family val="2"/>
          </rPr>
          <t>The default is -(risk difference) and the inverse of the odds, hazard and risk ratios.</t>
        </r>
      </text>
    </comment>
    <comment ref="E66" authorId="1">
      <text>
        <r>
          <rPr>
            <sz val="9"/>
            <rFont val="Tahoma"/>
            <family val="2"/>
          </rPr>
          <t>Value shown here is arbitrary.  You must use a reasonable estimate for your study.</t>
        </r>
      </text>
    </comment>
    <comment ref="E135" authorId="1">
      <text>
        <r>
          <rPr>
            <sz val="9"/>
            <rFont val="Tahoma"/>
            <family val="2"/>
          </rPr>
          <t>Value shown here is arbitrary.  You must use a reasonable estimate for your study.</t>
        </r>
      </text>
    </comment>
    <comment ref="E77" authorId="1">
      <text>
        <r>
          <rPr>
            <sz val="9"/>
            <rFont val="Tahoma"/>
            <family val="2"/>
          </rPr>
          <t>Value shown here is arbitrary.  You must use a reasonable estimate for your study.</t>
        </r>
      </text>
    </comment>
    <comment ref="E146" authorId="1">
      <text>
        <r>
          <rPr>
            <sz val="9"/>
            <rFont val="Tahoma"/>
            <family val="2"/>
          </rPr>
          <t>Value shown here is arbitrary.  You must use a reasonable estimate for your study.</t>
        </r>
      </text>
    </comment>
    <comment ref="C146" authorId="1">
      <text>
        <r>
          <rPr>
            <sz val="8"/>
            <rFont val="Tahoma"/>
            <family val="2"/>
          </rPr>
          <t>This value must be positive but it can be greater or less than 1.00.  The default value is 1.11 (=10/9) or its inverse 0.90 (=9/10), which represents one occurrence or event in 10 being due to something.
Note that the odds ratio as calculated is actually a hazard ratio when each control or handful of controls is sampled at the time that each case occurs (so-called incidence density sampling).  If controls are sampled at the end of the study, the odds ratio is indeed an odds ratio.  If the prevalence, incidence or proportion of cases in the population is low (&lt;10%), the odds and hazard ratios are practically identical and can be interpreted as relative risk. Note that the prevalence, incidence or proportion of cases in the population is not entered into the spreadsheet.</t>
        </r>
      </text>
    </comment>
    <comment ref="H66" authorId="1">
      <text>
        <r>
          <rPr>
            <sz val="9"/>
            <rFont val="Tahoma"/>
            <family val="2"/>
          </rPr>
          <t xml:space="preserve">The smallest harmful and beneficial effects are shown here as odds ratios and used to calculate sample size.
</t>
        </r>
      </text>
    </comment>
    <comment ref="H135" authorId="1">
      <text>
        <r>
          <rPr>
            <sz val="9"/>
            <rFont val="Tahoma"/>
            <family val="2"/>
          </rPr>
          <t xml:space="preserve">The smallest effect is shown here as an odds ratio and used to calculate sample size.
</t>
        </r>
      </text>
    </comment>
    <comment ref="F126" authorId="1">
      <text>
        <r>
          <rPr>
            <sz val="9"/>
            <rFont val="Tahoma"/>
            <family val="2"/>
          </rPr>
          <t>Usually 50% for group comparison studies and controlled trial.
For cohort studies, you must supply the appropriate proportion for your study.</t>
        </r>
      </text>
    </comment>
    <comment ref="F135" authorId="1">
      <text>
        <r>
          <rPr>
            <sz val="9"/>
            <rFont val="Tahoma"/>
            <family val="2"/>
          </rPr>
          <t>Usually 50% for group comparison studies and controlled trials.
For cohort studies, you must supply the appropriate prevalence for your study.</t>
        </r>
      </text>
    </comment>
    <comment ref="E57" authorId="1">
      <text>
        <r>
          <rPr>
            <sz val="9"/>
            <rFont val="Tahoma"/>
            <family val="2"/>
          </rPr>
          <t xml:space="preserve">Value shown here is arbitrary.  You must use a reasonable estimate for your study.
</t>
        </r>
      </text>
    </comment>
    <comment ref="AF61" authorId="1">
      <text>
        <r>
          <rPr>
            <sz val="9"/>
            <rFont val="Tahoma"/>
            <family val="2"/>
          </rPr>
          <t>Includes a fudge factor to make the sample size agree with that when the between-subject SD arises purely from the Poisson distribution.</t>
        </r>
      </text>
    </comment>
    <comment ref="E126" authorId="1">
      <text>
        <r>
          <rPr>
            <sz val="9"/>
            <rFont val="Tahoma"/>
            <family val="2"/>
          </rPr>
          <t xml:space="preserve">Value shown here is arbitrary.  You must use a reasonable estimate for your study.
</t>
        </r>
      </text>
    </comment>
    <comment ref="AF130" authorId="1">
      <text>
        <r>
          <rPr>
            <sz val="9"/>
            <rFont val="Tahoma"/>
            <family val="2"/>
          </rPr>
          <t>Includes a fudge factor to make the sample size agree with that when the between-subject SD arises purely from the Poisson distribution.</t>
        </r>
      </text>
    </comment>
    <comment ref="I25" authorId="1">
      <text>
        <r>
          <rPr>
            <sz val="9"/>
            <rFont val="Tahoma"/>
            <family val="2"/>
          </rPr>
          <t>Insert a different sample size in this cell to see the effect on confidence limits and chances. Clear the cell when finished.</t>
        </r>
      </text>
    </comment>
    <comment ref="M25" authorId="1">
      <text>
        <r>
          <rPr>
            <sz val="9"/>
            <rFont val="Tahoma"/>
            <family val="2"/>
          </rPr>
          <t>Insert a different value of the outcome statistic in this cell to see the effect on confidence limits and chances. Clear the cell when finished.</t>
        </r>
      </text>
    </comment>
    <comment ref="I33" authorId="1">
      <text>
        <r>
          <rPr>
            <sz val="9"/>
            <rFont val="Tahoma"/>
            <family val="2"/>
          </rPr>
          <t>Insert a different sample size in this cell to see the effect on confidence limits and chances. Clear the cell when finished.</t>
        </r>
      </text>
    </comment>
    <comment ref="M33" authorId="1">
      <text>
        <r>
          <rPr>
            <sz val="9"/>
            <rFont val="Tahoma"/>
            <family val="2"/>
          </rPr>
          <t>Insert a different value of the outcome statistic in this cell to see the effect on confidence limits and chances. Clear the cell when finished.</t>
        </r>
      </text>
    </comment>
    <comment ref="Q31" authorId="1">
      <text>
        <r>
          <rPr>
            <sz val="8"/>
            <rFont val="Tahoma"/>
            <family val="2"/>
          </rPr>
          <t>Value shown is the smallest harmful value.</t>
        </r>
      </text>
    </comment>
    <comment ref="R31" authorId="1">
      <text>
        <r>
          <rPr>
            <sz val="8"/>
            <rFont val="Tahoma"/>
            <family val="2"/>
          </rPr>
          <t>Value shown is the smallest beneficial value.</t>
        </r>
      </text>
    </comment>
    <comment ref="Q39" authorId="1">
      <text>
        <r>
          <rPr>
            <sz val="8"/>
            <rFont val="Tahoma"/>
            <family val="2"/>
          </rPr>
          <t>Value shown is the smallest harmful value.</t>
        </r>
      </text>
    </comment>
    <comment ref="R39" authorId="1">
      <text>
        <r>
          <rPr>
            <sz val="8"/>
            <rFont val="Tahoma"/>
            <family val="2"/>
          </rPr>
          <t>Value shown is the smallest beneficial value.</t>
        </r>
      </text>
    </comment>
    <comment ref="Q47" authorId="1">
      <text>
        <r>
          <rPr>
            <sz val="8"/>
            <rFont val="Tahoma"/>
            <family val="2"/>
          </rPr>
          <t>Value shown is the smallest harmful value.</t>
        </r>
      </text>
    </comment>
    <comment ref="R47" authorId="1">
      <text>
        <r>
          <rPr>
            <sz val="8"/>
            <rFont val="Tahoma"/>
            <family val="2"/>
          </rPr>
          <t>Value shown is the smallest beneficial value.</t>
        </r>
      </text>
    </comment>
    <comment ref="Q58" authorId="1">
      <text>
        <r>
          <rPr>
            <sz val="8"/>
            <rFont val="Tahoma"/>
            <family val="2"/>
          </rPr>
          <t>Value shown is the smallest harmful value.</t>
        </r>
      </text>
    </comment>
    <comment ref="R58" authorId="1">
      <text>
        <r>
          <rPr>
            <sz val="8"/>
            <rFont val="Tahoma"/>
            <family val="2"/>
          </rPr>
          <t>Value shown is the smallest beneficial value.</t>
        </r>
      </text>
    </comment>
    <comment ref="Q77" authorId="1">
      <text>
        <r>
          <rPr>
            <sz val="8"/>
            <rFont val="Tahoma"/>
            <family val="2"/>
          </rPr>
          <t>Value shown is the smallest harmful value.</t>
        </r>
      </text>
    </comment>
    <comment ref="R77" authorId="1">
      <text>
        <r>
          <rPr>
            <sz val="8"/>
            <rFont val="Tahoma"/>
            <family val="2"/>
          </rPr>
          <t>Value shown is the smallest beneficial value.</t>
        </r>
      </text>
    </comment>
    <comment ref="Q69" authorId="1">
      <text>
        <r>
          <rPr>
            <sz val="8"/>
            <rFont val="Tahoma"/>
            <family val="2"/>
          </rPr>
          <t>Value shown is the smallest harmful value.</t>
        </r>
      </text>
    </comment>
    <comment ref="R69" authorId="1">
      <text>
        <r>
          <rPr>
            <sz val="8"/>
            <rFont val="Tahoma"/>
            <family val="2"/>
          </rPr>
          <t>Value shown is the smallest beneficial value.</t>
        </r>
      </text>
    </comment>
    <comment ref="I67" authorId="1">
      <text>
        <r>
          <rPr>
            <sz val="9"/>
            <rFont val="Tahoma"/>
            <family val="2"/>
          </rPr>
          <t>Do not modify this cell.</t>
        </r>
      </text>
    </comment>
    <comment ref="J67" authorId="1">
      <text>
        <r>
          <rPr>
            <sz val="9"/>
            <rFont val="Tahoma"/>
            <family val="2"/>
          </rPr>
          <t>Do not modify this cell.</t>
        </r>
      </text>
    </comment>
    <comment ref="I136" authorId="1">
      <text>
        <r>
          <rPr>
            <sz val="9"/>
            <rFont val="Tahoma"/>
            <family val="2"/>
          </rPr>
          <t>Do not modify this cell.</t>
        </r>
      </text>
    </comment>
    <comment ref="C127" authorId="1">
      <text>
        <r>
          <rPr>
            <sz val="8"/>
            <rFont val="Tahoma"/>
            <family val="2"/>
          </rPr>
          <t>This value must be positive but it can be greater or less than 1.00.  
The default smallest important value is 1.11 (=10/9) or its inverse 0.90 (=9/10), which represents one count in 10 being due to something.</t>
        </r>
      </text>
    </comment>
    <comment ref="M2" authorId="2">
      <text>
        <r>
          <rPr>
            <sz val="8"/>
            <rFont val="Tahoma"/>
            <family val="2"/>
          </rPr>
          <t>See main article for major updates 6 June 2011 and earlier updates.</t>
        </r>
      </text>
    </comment>
    <comment ref="K2" authorId="2">
      <text>
        <r>
          <rPr>
            <b/>
            <sz val="8"/>
            <rFont val="Tahoma"/>
            <family val="2"/>
          </rPr>
          <t>21 Oct</t>
        </r>
        <r>
          <rPr>
            <sz val="8"/>
            <rFont val="Tahoma"/>
            <family val="2"/>
          </rPr>
          <t>. There is now a single set of defaults for ratio effects (risks, proportions, hazards, odds). See the article/slideshow on Linear Models and Effect Magnitudes for more. There are also now instructions in Row 11 on how to determine the magnitude of effect you can quantify with a fixed sample size.</t>
        </r>
      </text>
    </comment>
    <comment ref="P12" authorId="2">
      <text>
        <r>
          <rPr>
            <sz val="8"/>
            <rFont val="Tahoma"/>
            <family val="2"/>
          </rPr>
          <t>The mean change in a single group (or crossover) or the difference in the changes in an experimental and control group,
This method does not work if the value is reported as exactly zero.</t>
        </r>
      </text>
    </comment>
    <comment ref="Q12" authorId="2">
      <text>
        <r>
          <rPr>
            <sz val="8"/>
            <rFont val="Tahoma"/>
            <family val="2"/>
          </rPr>
          <t>If there is only one group, insert the number in either cell.</t>
        </r>
      </text>
    </comment>
    <comment ref="X12" authorId="2">
      <text>
        <r>
          <rPr>
            <sz val="8"/>
            <rFont val="Tahoma"/>
            <family val="2"/>
          </rPr>
          <t>Not needed if a p value is used</t>
        </r>
      </text>
    </comment>
    <comment ref="Y12" authorId="2">
      <text>
        <r>
          <rPr>
            <sz val="8"/>
            <rFont val="Tahoma"/>
            <family val="2"/>
          </rPr>
          <t>May differ from a reported value, but not important.</t>
        </r>
      </text>
    </comment>
    <comment ref="Z12" authorId="2">
      <text>
        <r>
          <rPr>
            <sz val="8"/>
            <rFont val="Tahoma"/>
            <family val="2"/>
          </rPr>
          <t>Shown only for people interested in how the within-subject SD is estimated.</t>
        </r>
      </text>
    </comment>
    <comment ref="AA12" authorId="2">
      <text>
        <r>
          <rPr>
            <sz val="8"/>
            <rFont val="Tahoma"/>
            <family val="2"/>
          </rPr>
          <t>Transfer this value to the appropriate cell in the crossover or parallel-groups trial panels.</t>
        </r>
      </text>
    </comment>
    <comment ref="S13" authorId="2">
      <text>
        <r>
          <rPr>
            <sz val="8"/>
            <rFont val="Tahoma"/>
            <family val="2"/>
          </rPr>
          <t>Must be a number, not an inequality.  If p&lt;0.05 or some value, insert 0.05 or the value. If p&gt;0.05, you can't use this approach: do not insert 0.05.</t>
        </r>
      </text>
    </comment>
    <comment ref="E111" authorId="2">
      <text>
        <r>
          <rPr>
            <b/>
            <sz val="8"/>
            <rFont val="Tahoma"/>
            <family val="2"/>
          </rPr>
          <t>whopkins:</t>
        </r>
        <r>
          <rPr>
            <sz val="8"/>
            <rFont val="Tahoma"/>
            <family val="2"/>
          </rPr>
          <t xml:space="preserve">
</t>
        </r>
      </text>
    </comment>
    <comment ref="E108" authorId="2">
      <text>
        <r>
          <rPr>
            <sz val="8"/>
            <rFont val="Tahoma"/>
            <family val="2"/>
          </rPr>
          <t>The default of 1.00 is appropriate if you are using a smallest standardized (Cohen) effect of 0.20.
Otherwise make sure this number is in the same units as the smallest important difference.</t>
        </r>
      </text>
    </comment>
    <comment ref="J2" authorId="2">
      <text>
        <r>
          <rPr>
            <b/>
            <sz val="8"/>
            <rFont val="Tahoma"/>
            <family val="2"/>
          </rPr>
          <t>Nov 16:</t>
        </r>
        <r>
          <rPr>
            <sz val="8"/>
            <rFont val="Tahoma"/>
            <family val="2"/>
          </rPr>
          <t xml:space="preserve"> Sample sizes via statistical significance for crossovers, controlled trials and differences in means now have lower limits to prevent incorrect estimation when the typical error or between-subject SD is too small relative to the smallest important change or difference. A message will appear if this situation arises when you input values.</t>
        </r>
        <r>
          <rPr>
            <b/>
            <sz val="8"/>
            <rFont val="Tahoma"/>
            <family val="2"/>
          </rPr>
          <t xml:space="preserve">
June 24: </t>
        </r>
        <r>
          <rPr>
            <sz val="8"/>
            <rFont val="Tahoma"/>
            <family val="2"/>
          </rPr>
          <t>Added panel at right for using a published intervention to get a within-subject SD to use in the main spreadsheet for sample size in a crossover or pre-post parallel-groups trial.</t>
        </r>
      </text>
    </comment>
  </commentList>
</comments>
</file>

<file path=xl/sharedStrings.xml><?xml version="1.0" encoding="utf-8"?>
<sst xmlns="http://schemas.openxmlformats.org/spreadsheetml/2006/main" count="413" uniqueCount="128">
  <si>
    <t>A Type 1 clinical error occurs when, on the basis of your study, you decide to use an effect  that is actually harmful.  
A Type 2 clinical error occurs when, on the basis of your study, you decide not to use an effect  that is actually beneficial.</t>
  </si>
  <si>
    <r>
      <t xml:space="preserve">You may change cells with numbers in </t>
    </r>
    <r>
      <rPr>
        <b/>
        <sz val="10"/>
        <color indexed="48"/>
        <rFont val="Arial"/>
        <family val="2"/>
      </rPr>
      <t>blue</t>
    </r>
    <r>
      <rPr>
        <sz val="10"/>
        <rFont val="Arial"/>
        <family val="2"/>
      </rPr>
      <t>.</t>
    </r>
  </si>
  <si>
    <t>The smallest change, difference, correlation, relative risk or odds ratio is the smallest value of the statistic that has a substantial effect on the health, wealth, performance or biological function of your subjects. For mechanistic variables, regard "harmful" as "substantially negative" and "beneficial" as "substantially positive", or vice versa.</t>
  </si>
  <si>
    <t>Ignore the error-variance factor, which is used to calculate the sample size and other stats.</t>
  </si>
  <si>
    <t>Smallest harmful change</t>
  </si>
  <si>
    <t>Smallest beneficial change</t>
  </si>
  <si>
    <t>Within-subject SD (typical error)</t>
  </si>
  <si>
    <t>Error-variance factor</t>
  </si>
  <si>
    <t>Choose a harmful value</t>
  </si>
  <si>
    <t>Choose a beneficial value</t>
  </si>
  <si>
    <t>Sample size</t>
  </si>
  <si>
    <t>% conf. limits</t>
  </si>
  <si>
    <t>Type 1</t>
  </si>
  <si>
    <t>Type 2</t>
  </si>
  <si>
    <t>lower</t>
  </si>
  <si>
    <t>upper</t>
  </si>
  <si>
    <t>"±"</t>
  </si>
  <si>
    <t xml:space="preserve">harmful </t>
  </si>
  <si>
    <t xml:space="preserve">beneficial </t>
  </si>
  <si>
    <t>Iterations</t>
  </si>
  <si>
    <t>Proportion in experimental group (%)</t>
  </si>
  <si>
    <t>Total</t>
  </si>
  <si>
    <t>Exptal</t>
  </si>
  <si>
    <t>Control</t>
  </si>
  <si>
    <t>Smallest harmful difference</t>
  </si>
  <si>
    <t>Smallest beneficial difference</t>
  </si>
  <si>
    <t>Between-subject SD</t>
  </si>
  <si>
    <t>Proportion in Group A (%)</t>
  </si>
  <si>
    <t>Correlation in a cross-sectional study</t>
  </si>
  <si>
    <t>Smallest harmful correlation</t>
  </si>
  <si>
    <t>Smallest beneficial correlation</t>
  </si>
  <si>
    <t>Cohort or Total</t>
  </si>
  <si>
    <t>Smallest harmful odds ratio</t>
  </si>
  <si>
    <t>Smallest beneficial odds ratio</t>
  </si>
  <si>
    <t>Prevalence of exposure in controls (%)</t>
  </si>
  <si>
    <t>Proportion of cases in study (%)</t>
  </si>
  <si>
    <t>Cases</t>
  </si>
  <si>
    <t>Controls</t>
  </si>
  <si>
    <t>Smallest change</t>
  </si>
  <si>
    <t>Maximum rates of statistical errors (%)</t>
  </si>
  <si>
    <t>Smallest difference</t>
  </si>
  <si>
    <t>Smallest correlation</t>
  </si>
  <si>
    <t>Smallest odds ratio</t>
  </si>
  <si>
    <t>Outcomes in a subsequent study</t>
  </si>
  <si>
    <t>Maximum chances (%) of clinical errors</t>
  </si>
  <si>
    <t>The method is based on keeping chances of what I call Type 1 and Type 2 clinical errors acceptably low.</t>
  </si>
  <si>
    <t>Chances the true effect is:</t>
  </si>
  <si>
    <t>Choose an observed change</t>
  </si>
  <si>
    <t>Choose an observed difference</t>
  </si>
  <si>
    <t>Choose an observed correlation</t>
  </si>
  <si>
    <t>Choose an observed odds ratio</t>
  </si>
  <si>
    <t>Type I</t>
  </si>
  <si>
    <t>Type II</t>
  </si>
  <si>
    <t>"±" approx</t>
  </si>
  <si>
    <t>unclear</t>
  </si>
  <si>
    <t>&gt;Type 2 chance of benefit</t>
  </si>
  <si>
    <t>&lt;Type 1 chance of harm</t>
  </si>
  <si>
    <t>trivial</t>
  </si>
  <si>
    <t>Chances of observing these outcomes if true effect is null</t>
  </si>
  <si>
    <t>likely
non-trivial</t>
  </si>
  <si>
    <t>very likely non-trivial</t>
  </si>
  <si>
    <t>Decide to use effect clinically</t>
  </si>
  <si>
    <t>any
non-trivial</t>
  </si>
  <si>
    <t>Author: Will G Hopkins, AUT University, NZ.  Email: will@clear.net.nz</t>
  </si>
  <si>
    <t>ESTIMATING SAMPLE-SIZE FOR MAGNITUDE-BASED INFERENCES</t>
  </si>
  <si>
    <t>Sample Size for
Statistical Significance</t>
  </si>
  <si>
    <t>Sample Size for
Magnitude-Based Inferences</t>
  </si>
  <si>
    <t>Chances of these outcomes when the true effect is null</t>
  </si>
  <si>
    <t>Observe the following magnitudes</t>
  </si>
  <si>
    <r>
      <t xml:space="preserve"> "</t>
    </r>
    <r>
      <rPr>
        <sz val="10"/>
        <rFont val="Symbol"/>
        <family val="1"/>
      </rPr>
      <t>´¤¸</t>
    </r>
    <r>
      <rPr>
        <sz val="10"/>
        <rFont val="Arial"/>
        <family val="2"/>
      </rPr>
      <t xml:space="preserve">" </t>
    </r>
  </si>
  <si>
    <t>I have set the default chances to Type 1 = 0.5% and Type 2 = 25%.  You need this kind of disparity if you want a reasonably low chance of an apparently beneficial outcome with an effect that is truly null or zero. For adequate precision for an effect that doesn't have benefit or harm (e.g., an effect representing a mechanism), set Type 1 and Type 2 to 5%.</t>
  </si>
  <si>
    <t>Ignore the grey cells on the far right.</t>
  </si>
  <si>
    <r>
      <t xml:space="preserve">Sample size and other useful stats are in </t>
    </r>
    <r>
      <rPr>
        <b/>
        <sz val="10"/>
        <color indexed="10"/>
        <rFont val="Arial"/>
        <family val="2"/>
      </rPr>
      <t>red</t>
    </r>
    <r>
      <rPr>
        <sz val="10"/>
        <rFont val="Arial"/>
        <family val="2"/>
      </rPr>
      <t xml:space="preserve"> and </t>
    </r>
    <r>
      <rPr>
        <b/>
        <sz val="10"/>
        <color indexed="61"/>
        <rFont val="Arial"/>
        <family val="2"/>
      </rPr>
      <t>plum</t>
    </r>
    <r>
      <rPr>
        <sz val="10"/>
        <rFont val="Arial"/>
        <family val="2"/>
      </rPr>
      <t xml:space="preserve">.  Do not change the cells in </t>
    </r>
    <r>
      <rPr>
        <sz val="10"/>
        <color indexed="10"/>
        <rFont val="Arial"/>
        <family val="2"/>
      </rPr>
      <t>red.</t>
    </r>
    <r>
      <rPr>
        <sz val="10"/>
        <rFont val="Arial"/>
        <family val="2"/>
      </rPr>
      <t xml:space="preserve">  You may change cells in </t>
    </r>
    <r>
      <rPr>
        <sz val="10"/>
        <color indexed="61"/>
        <rFont val="Arial"/>
        <family val="2"/>
      </rPr>
      <t>plum</t>
    </r>
    <r>
      <rPr>
        <sz val="10"/>
        <rFont val="Arial"/>
        <family val="2"/>
      </rPr>
      <t xml:space="preserve"> to see the effect on confidence limits and chances, but remember to "Ctrl-z" or otherwise undo to restore the formulae in these cells.</t>
    </r>
  </si>
  <si>
    <t>Smallest beneficial ratio</t>
  </si>
  <si>
    <t>Choose an observed count ratio</t>
  </si>
  <si>
    <t>Smallest  count ratio</t>
  </si>
  <si>
    <t>HR</t>
  </si>
  <si>
    <t>OR</t>
  </si>
  <si>
    <t>RR</t>
  </si>
  <si>
    <t>Smallest harmful effect</t>
  </si>
  <si>
    <t>Smallest beneficial effect</t>
  </si>
  <si>
    <t>Group</t>
  </si>
  <si>
    <t>A/exptal</t>
  </si>
  <si>
    <t>B/control</t>
  </si>
  <si>
    <t>Incidence of disease in unexposed, or prevalence of event in B/control group (%)</t>
  </si>
  <si>
    <t>Prevalence of exposure, or proportion in A/experimental group (%)</t>
  </si>
  <si>
    <t>Odds ratio in a case-control study</t>
  </si>
  <si>
    <r>
      <t>D</t>
    </r>
    <r>
      <rPr>
        <sz val="8"/>
        <rFont val="Arial"/>
        <family val="2"/>
      </rPr>
      <t>Risk</t>
    </r>
  </si>
  <si>
    <t>Choose an observed odds ratio.</t>
  </si>
  <si>
    <t>Choose a harmful odds ratio</t>
  </si>
  <si>
    <t>Choose a beneficial odds ratio</t>
  </si>
  <si>
    <t>Effects as OR</t>
  </si>
  <si>
    <t>Beneficial</t>
  </si>
  <si>
    <t>Harmful</t>
  </si>
  <si>
    <t>Smallest effect</t>
  </si>
  <si>
    <t>Mean count in unexposed,  B or control group</t>
  </si>
  <si>
    <t>Difference in changes in means in a pre-post parallel-groups controlled trial</t>
  </si>
  <si>
    <t>Change in mean in a post-only crossover</t>
  </si>
  <si>
    <t>Proportion in A or experimental group (%)</t>
  </si>
  <si>
    <t>Smallest  harmful ratio</t>
  </si>
  <si>
    <t>Difference in means in a group comparison or post-only parallel-groups controlled trial</t>
  </si>
  <si>
    <t>Count ratio in a prospective cohort study, group comparison, or post-only parallel-groups controlled trial</t>
  </si>
  <si>
    <t>Effect as OR</t>
  </si>
  <si>
    <t>Between-subject SD of count in unexposed,  B or control group</t>
  </si>
  <si>
    <t>Sample sizes are only approximate for mean count&lt;10.</t>
  </si>
  <si>
    <t>Observed change</t>
  </si>
  <si>
    <t>Choose a harmful ratio</t>
  </si>
  <si>
    <t>Choose a beneficial ratio</t>
  </si>
  <si>
    <t>Sample sizes &lt;10 are only approximate.  Tweak to make chances the true effect is harmful and beneficial = Type 1 and 2 errors.</t>
  </si>
  <si>
    <r>
      <t>Risk or proportion ratio (RR), hazard ratio (HR), odds ratio (OR), or risk difference (</t>
    </r>
    <r>
      <rPr>
        <b/>
        <sz val="10"/>
        <rFont val="Symbol"/>
        <family val="1"/>
      </rPr>
      <t>D</t>
    </r>
    <r>
      <rPr>
        <b/>
        <sz val="10"/>
        <rFont val="Arial"/>
        <family val="2"/>
      </rPr>
      <t>Risk) in a prospective cohort study, group comparison, or post-only parallel-groups controlled trial</t>
    </r>
  </si>
  <si>
    <r>
      <t xml:space="preserve">The larger the true effect, the smaller the sample size for a clear outcome.  To estimate the sample size for a suspected true effect, replace the </t>
    </r>
    <r>
      <rPr>
        <b/>
        <sz val="10"/>
        <color indexed="61"/>
        <rFont val="Arial"/>
        <family val="2"/>
      </rPr>
      <t>plum-colored</t>
    </r>
    <r>
      <rPr>
        <sz val="10"/>
        <rFont val="Arial"/>
        <family val="2"/>
      </rPr>
      <t xml:space="preserve"> smallest beneficial effect with the suspected true effect. If you have a fixed sample size, try different values of smallest beneficial effect.  The value that gives your sample size is the smallest true magnitude of the effect you can expect to quantify confidently.</t>
    </r>
  </si>
  <si>
    <t>pre-2012</t>
  </si>
  <si>
    <t>Hover for updates:</t>
  </si>
  <si>
    <t>Value of differrence</t>
  </si>
  <si>
    <t>P value or confidence limits</t>
  </si>
  <si>
    <t>Conf. level (%)</t>
  </si>
  <si>
    <t>Deg. of freedom</t>
  </si>
  <si>
    <t>Standard error</t>
  </si>
  <si>
    <t>Within-subject SD</t>
  </si>
  <si>
    <t>Group1</t>
  </si>
  <si>
    <t>Group2</t>
  </si>
  <si>
    <t>P value</t>
  </si>
  <si>
    <t>Lower CL</t>
  </si>
  <si>
    <t>Upper CL</t>
  </si>
  <si>
    <t>or "±"</t>
  </si>
  <si>
    <r>
      <rPr>
        <b/>
        <sz val="10"/>
        <rFont val="Arial"/>
        <family val="2"/>
      </rPr>
      <t>USING A PUBLISHED CROSSOVER OR CONTROLLED TRIAL TO ESTIMATE THE WITHIN-SUBJECT SD</t>
    </r>
    <r>
      <rPr>
        <sz val="10"/>
        <rFont val="Arial"/>
        <family val="2"/>
      </rPr>
      <t xml:space="preserve">
If your study is a crossover or pre-post controlled trial, you can estimate the within-subject SD (typical error) needed for sample-size estimation from the outcome in a published study that used subjects, methods and dependent variable similar to those that you intend to use.  The published study needn't have the same kind of intervention, but it should have a similar time between the two measurements so you can be reasonably confident the published measure has reliability similar to that of your measure. 
Try to find several studies for this approach, because you will find the typical errors sometimes vary widely, and you will have to figure out why and choose a reasonable value. Either study can be a crossover or controlled trial (e.g., published is a crossover, but you are doing a controlled trial). The published study will have to provide the effect as a difference in means (change in a crossover or difference in the change in a controlled trial) with an exact p value or confidence limits. If p&lt;0.05 or whatever, use p=0.05 or whatever, but if p&gt;0.05, you can't use this approach. Bonferroni or other adjusted p values overestimate the error and resulting sample size.</t>
    </r>
  </si>
  <si>
    <r>
      <rPr>
        <b/>
        <sz val="10"/>
        <rFont val="Arial"/>
        <family val="2"/>
      </rPr>
      <t>Sample sizes via statistical significance</t>
    </r>
    <r>
      <rPr>
        <sz val="10"/>
        <rFont val="Arial"/>
        <family val="2"/>
      </rPr>
      <t xml:space="preserve"> appear further down on this sheet.</t>
    </r>
  </si>
  <si>
    <t>Insert values from a published study in this row:</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</si>
</sst>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s>
  <fonts count="62">
    <font>
      <sz val="10"/>
      <name val="Arial"/>
      <family val="0"/>
    </font>
    <font>
      <sz val="11"/>
      <color indexed="8"/>
      <name val="Calibri"/>
      <family val="2"/>
    </font>
    <font>
      <b/>
      <sz val="10"/>
      <name val="Arial"/>
      <family val="2"/>
    </font>
    <font>
      <b/>
      <sz val="10"/>
      <color indexed="48"/>
      <name val="Arial"/>
      <family val="2"/>
    </font>
    <font>
      <b/>
      <sz val="10"/>
      <color indexed="10"/>
      <name val="Arial"/>
      <family val="2"/>
    </font>
    <font>
      <b/>
      <sz val="10"/>
      <color indexed="61"/>
      <name val="Arial"/>
      <family val="2"/>
    </font>
    <font>
      <sz val="10"/>
      <color indexed="10"/>
      <name val="Arial"/>
      <family val="2"/>
    </font>
    <font>
      <sz val="10"/>
      <color indexed="61"/>
      <name val="Arial"/>
      <family val="2"/>
    </font>
    <font>
      <sz val="9"/>
      <color indexed="10"/>
      <name val="Arial"/>
      <family val="2"/>
    </font>
    <font>
      <sz val="8"/>
      <name val="Arial"/>
      <family val="2"/>
    </font>
    <font>
      <sz val="8"/>
      <color indexed="23"/>
      <name val="Arial"/>
      <family val="2"/>
    </font>
    <font>
      <b/>
      <sz val="10"/>
      <color indexed="12"/>
      <name val="Arial"/>
      <family val="2"/>
    </font>
    <font>
      <sz val="10"/>
      <color indexed="23"/>
      <name val="Arial"/>
      <family val="2"/>
    </font>
    <font>
      <sz val="10"/>
      <color indexed="12"/>
      <name val="Arial"/>
      <family val="2"/>
    </font>
    <font>
      <sz val="8"/>
      <color indexed="10"/>
      <name val="Arial"/>
      <family val="2"/>
    </font>
    <font>
      <sz val="9"/>
      <name val="Arial"/>
      <family val="2"/>
    </font>
    <font>
      <sz val="8"/>
      <name val="Tahoma"/>
      <family val="2"/>
    </font>
    <font>
      <sz val="9"/>
      <name val="Tahoma"/>
      <family val="2"/>
    </font>
    <font>
      <b/>
      <sz val="12"/>
      <name val="Arial"/>
      <family val="2"/>
    </font>
    <font>
      <sz val="9"/>
      <color indexed="8"/>
      <name val="Arial"/>
      <family val="2"/>
    </font>
    <font>
      <sz val="7"/>
      <color indexed="10"/>
      <name val="Arial"/>
      <family val="2"/>
    </font>
    <font>
      <sz val="9"/>
      <color indexed="23"/>
      <name val="Arial"/>
      <family val="2"/>
    </font>
    <font>
      <sz val="10"/>
      <name val="Symbol"/>
      <family val="1"/>
    </font>
    <font>
      <b/>
      <sz val="10"/>
      <name val="Symbol"/>
      <family val="1"/>
    </font>
    <font>
      <b/>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FF"/>
      <name val="Arial"/>
      <family val="2"/>
    </font>
    <font>
      <b/>
      <sz val="10"/>
      <color rgb="FFC00000"/>
      <name val="Arial"/>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46"/>
        <bgColor indexed="64"/>
      </patternFill>
    </fill>
    <fill>
      <patternFill patternType="solid">
        <fgColor indexed="50"/>
        <bgColor indexed="64"/>
      </patternFill>
    </fill>
    <fill>
      <patternFill patternType="solid">
        <fgColor theme="0" tint="-0.1499900072813034"/>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bottom style="thin"/>
    </border>
    <border>
      <left style="thin"/>
      <right style="thin"/>
      <top style="thin"/>
      <bottom/>
    </border>
    <border>
      <left/>
      <right/>
      <top style="thin"/>
      <bottom/>
    </border>
    <border>
      <left/>
      <right/>
      <top/>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57">
    <xf numFmtId="0" fontId="0" fillId="0" borderId="0" xfId="0" applyAlignment="1">
      <alignment/>
    </xf>
    <xf numFmtId="0" fontId="0" fillId="33" borderId="0" xfId="0" applyFont="1" applyFill="1" applyBorder="1" applyAlignment="1">
      <alignment/>
    </xf>
    <xf numFmtId="0" fontId="0" fillId="33" borderId="0" xfId="0" applyFont="1" applyFill="1" applyBorder="1" applyAlignment="1">
      <alignment horizontal="center"/>
    </xf>
    <xf numFmtId="0" fontId="0" fillId="33" borderId="0" xfId="0" applyFont="1" applyFill="1" applyAlignment="1">
      <alignment/>
    </xf>
    <xf numFmtId="0" fontId="0" fillId="0" borderId="0" xfId="0" applyFont="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Border="1" applyAlignment="1">
      <alignment/>
    </xf>
    <xf numFmtId="0" fontId="0" fillId="0" borderId="0" xfId="0" applyFont="1" applyFill="1" applyBorder="1" applyAlignment="1">
      <alignment horizontal="center"/>
    </xf>
    <xf numFmtId="0" fontId="0" fillId="0" borderId="0" xfId="0" applyFont="1" applyFill="1" applyBorder="1" applyAlignment="1">
      <alignment/>
    </xf>
    <xf numFmtId="0" fontId="0" fillId="0" borderId="0" xfId="0" applyFont="1" applyAlignment="1">
      <alignment/>
    </xf>
    <xf numFmtId="0" fontId="0" fillId="0" borderId="0" xfId="0" applyFont="1" applyFill="1" applyAlignment="1">
      <alignment/>
    </xf>
    <xf numFmtId="1" fontId="0" fillId="0" borderId="0" xfId="0" applyNumberFormat="1" applyFont="1" applyFill="1" applyBorder="1" applyAlignment="1">
      <alignment/>
    </xf>
    <xf numFmtId="172" fontId="0" fillId="0" borderId="0" xfId="0" applyNumberFormat="1" applyFont="1" applyAlignment="1">
      <alignment/>
    </xf>
    <xf numFmtId="0" fontId="2" fillId="33" borderId="0" xfId="0" applyFont="1" applyFill="1" applyBorder="1" applyAlignment="1">
      <alignment/>
    </xf>
    <xf numFmtId="0" fontId="0" fillId="33" borderId="0" xfId="0" applyFont="1" applyFill="1" applyAlignment="1">
      <alignment horizontal="center"/>
    </xf>
    <xf numFmtId="172" fontId="0" fillId="33" borderId="0" xfId="0" applyNumberFormat="1" applyFont="1" applyFill="1" applyAlignment="1">
      <alignment horizontal="center"/>
    </xf>
    <xf numFmtId="0" fontId="0" fillId="33" borderId="0" xfId="0" applyFont="1" applyFill="1" applyBorder="1" applyAlignment="1">
      <alignment/>
    </xf>
    <xf numFmtId="1" fontId="6" fillId="33" borderId="0" xfId="0" applyNumberFormat="1" applyFont="1" applyFill="1" applyBorder="1" applyAlignment="1">
      <alignment horizontal="center"/>
    </xf>
    <xf numFmtId="2" fontId="0" fillId="33" borderId="0" xfId="0" applyNumberFormat="1" applyFont="1" applyFill="1" applyBorder="1" applyAlignment="1">
      <alignment horizontal="center"/>
    </xf>
    <xf numFmtId="2" fontId="5" fillId="34" borderId="10" xfId="0" applyNumberFormat="1" applyFont="1" applyFill="1" applyBorder="1" applyAlignment="1">
      <alignment horizontal="center"/>
    </xf>
    <xf numFmtId="2" fontId="13" fillId="34" borderId="10" xfId="0" applyNumberFormat="1" applyFont="1" applyFill="1" applyBorder="1" applyAlignment="1">
      <alignment horizontal="center"/>
    </xf>
    <xf numFmtId="0" fontId="0" fillId="34" borderId="10" xfId="0" applyFont="1" applyFill="1" applyBorder="1" applyAlignment="1">
      <alignment horizontal="center"/>
    </xf>
    <xf numFmtId="1" fontId="14" fillId="34"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center"/>
    </xf>
    <xf numFmtId="1" fontId="5" fillId="34" borderId="10" xfId="0" applyNumberFormat="1" applyFont="1" applyFill="1" applyBorder="1" applyAlignment="1">
      <alignment horizontal="center"/>
    </xf>
    <xf numFmtId="0" fontId="0" fillId="34" borderId="11" xfId="0" applyFont="1" applyFill="1" applyBorder="1" applyAlignment="1">
      <alignment horizontal="center"/>
    </xf>
    <xf numFmtId="0" fontId="0" fillId="34" borderId="12" xfId="0" applyFont="1" applyFill="1" applyBorder="1" applyAlignment="1">
      <alignment horizontal="center"/>
    </xf>
    <xf numFmtId="2" fontId="6" fillId="34" borderId="10" xfId="0" applyNumberFormat="1" applyFont="1" applyFill="1" applyBorder="1" applyAlignment="1">
      <alignment horizontal="center"/>
    </xf>
    <xf numFmtId="0" fontId="9" fillId="34" borderId="13" xfId="0" applyFont="1" applyFill="1" applyBorder="1" applyAlignment="1">
      <alignment horizontal="center" vertical="center" wrapText="1"/>
    </xf>
    <xf numFmtId="0" fontId="2" fillId="35" borderId="0" xfId="0" applyFont="1" applyFill="1" applyBorder="1" applyAlignment="1">
      <alignment/>
    </xf>
    <xf numFmtId="0" fontId="0" fillId="35" borderId="0" xfId="0" applyFont="1" applyFill="1" applyAlignment="1">
      <alignment horizontal="center"/>
    </xf>
    <xf numFmtId="172" fontId="0" fillId="35" borderId="0" xfId="0" applyNumberFormat="1" applyFont="1" applyFill="1" applyAlignment="1">
      <alignment horizontal="center"/>
    </xf>
    <xf numFmtId="0" fontId="0" fillId="35" borderId="0" xfId="0" applyFont="1" applyFill="1" applyAlignment="1">
      <alignment/>
    </xf>
    <xf numFmtId="0" fontId="0" fillId="35" borderId="0" xfId="0" applyFont="1" applyFill="1" applyBorder="1" applyAlignment="1">
      <alignment/>
    </xf>
    <xf numFmtId="2" fontId="0" fillId="35" borderId="0" xfId="0" applyNumberFormat="1" applyFont="1" applyFill="1" applyBorder="1" applyAlignment="1">
      <alignment horizontal="center"/>
    </xf>
    <xf numFmtId="0" fontId="0" fillId="35" borderId="0" xfId="0" applyFont="1" applyFill="1" applyBorder="1" applyAlignment="1">
      <alignment horizontal="center"/>
    </xf>
    <xf numFmtId="1" fontId="6" fillId="35" borderId="0" xfId="0" applyNumberFormat="1" applyFont="1" applyFill="1" applyBorder="1" applyAlignment="1">
      <alignment horizontal="center"/>
    </xf>
    <xf numFmtId="0" fontId="2" fillId="36" borderId="0" xfId="0" applyFont="1" applyFill="1" applyBorder="1" applyAlignment="1">
      <alignment/>
    </xf>
    <xf numFmtId="2" fontId="0" fillId="36" borderId="0" xfId="0" applyNumberFormat="1" applyFont="1" applyFill="1" applyBorder="1" applyAlignment="1">
      <alignment horizontal="center"/>
    </xf>
    <xf numFmtId="0" fontId="0" fillId="36" borderId="0" xfId="0" applyFont="1" applyFill="1" applyBorder="1" applyAlignment="1">
      <alignment/>
    </xf>
    <xf numFmtId="1" fontId="8" fillId="36" borderId="0" xfId="0" applyNumberFormat="1" applyFont="1" applyFill="1" applyBorder="1" applyAlignment="1">
      <alignment horizontal="center"/>
    </xf>
    <xf numFmtId="0" fontId="0" fillId="36" borderId="0" xfId="0" applyFont="1" applyFill="1" applyBorder="1" applyAlignment="1">
      <alignment horizontal="center"/>
    </xf>
    <xf numFmtId="0" fontId="0" fillId="36" borderId="0" xfId="0" applyFont="1" applyFill="1" applyAlignment="1">
      <alignment/>
    </xf>
    <xf numFmtId="0" fontId="0" fillId="36" borderId="0" xfId="0" applyFont="1" applyFill="1" applyAlignment="1">
      <alignment horizontal="center"/>
    </xf>
    <xf numFmtId="0" fontId="0" fillId="36" borderId="0" xfId="0" applyFont="1" applyFill="1" applyBorder="1" applyAlignment="1">
      <alignment horizontal="left"/>
    </xf>
    <xf numFmtId="1" fontId="6" fillId="36" borderId="0" xfId="0" applyNumberFormat="1" applyFont="1" applyFill="1" applyBorder="1" applyAlignment="1">
      <alignment horizontal="center"/>
    </xf>
    <xf numFmtId="0" fontId="0" fillId="36" borderId="0" xfId="0" applyFont="1" applyFill="1" applyBorder="1" applyAlignment="1">
      <alignment/>
    </xf>
    <xf numFmtId="172" fontId="0" fillId="36" borderId="0" xfId="0" applyNumberFormat="1" applyFont="1" applyFill="1" applyBorder="1" applyAlignment="1">
      <alignment/>
    </xf>
    <xf numFmtId="0" fontId="13" fillId="34" borderId="10" xfId="0" applyFont="1" applyFill="1" applyBorder="1" applyAlignment="1">
      <alignment horizontal="center"/>
    </xf>
    <xf numFmtId="0" fontId="2" fillId="37" borderId="0" xfId="0" applyFont="1" applyFill="1" applyBorder="1" applyAlignment="1">
      <alignment/>
    </xf>
    <xf numFmtId="2" fontId="0" fillId="37" borderId="0" xfId="0" applyNumberFormat="1" applyFont="1" applyFill="1" applyBorder="1" applyAlignment="1">
      <alignment horizontal="center"/>
    </xf>
    <xf numFmtId="0" fontId="0" fillId="37" borderId="0" xfId="0" applyFont="1" applyFill="1" applyBorder="1" applyAlignment="1">
      <alignment/>
    </xf>
    <xf numFmtId="1" fontId="8" fillId="37" borderId="0" xfId="0" applyNumberFormat="1" applyFont="1" applyFill="1" applyBorder="1" applyAlignment="1">
      <alignment horizontal="center"/>
    </xf>
    <xf numFmtId="0" fontId="0" fillId="37" borderId="0" xfId="0" applyFont="1" applyFill="1" applyBorder="1" applyAlignment="1">
      <alignment horizontal="center"/>
    </xf>
    <xf numFmtId="1" fontId="0" fillId="37" borderId="0" xfId="0" applyNumberFormat="1" applyFont="1" applyFill="1" applyBorder="1" applyAlignment="1">
      <alignment/>
    </xf>
    <xf numFmtId="0" fontId="0" fillId="37" borderId="0" xfId="0" applyFont="1" applyFill="1" applyAlignment="1">
      <alignment/>
    </xf>
    <xf numFmtId="0" fontId="0" fillId="37" borderId="0" xfId="0" applyFont="1" applyFill="1" applyAlignment="1">
      <alignment horizontal="center"/>
    </xf>
    <xf numFmtId="2" fontId="0" fillId="37" borderId="0" xfId="0" applyNumberFormat="1" applyFont="1" applyFill="1" applyAlignment="1">
      <alignment/>
    </xf>
    <xf numFmtId="2" fontId="0" fillId="37" borderId="0" xfId="0" applyNumberFormat="1" applyFont="1" applyFill="1" applyBorder="1" applyAlignment="1">
      <alignment/>
    </xf>
    <xf numFmtId="1" fontId="0" fillId="37" borderId="0" xfId="0" applyNumberFormat="1" applyFont="1" applyFill="1" applyBorder="1" applyAlignment="1">
      <alignment horizontal="center"/>
    </xf>
    <xf numFmtId="172" fontId="0" fillId="37" borderId="0" xfId="0" applyNumberFormat="1" applyFont="1" applyFill="1" applyBorder="1" applyAlignment="1">
      <alignment/>
    </xf>
    <xf numFmtId="0" fontId="15" fillId="34" borderId="10" xfId="0" applyFont="1" applyFill="1" applyBorder="1" applyAlignment="1">
      <alignment horizontal="center"/>
    </xf>
    <xf numFmtId="2" fontId="9" fillId="37" borderId="14" xfId="0" applyNumberFormat="1" applyFont="1" applyFill="1" applyBorder="1" applyAlignment="1">
      <alignment horizontal="center" wrapText="1"/>
    </xf>
    <xf numFmtId="0" fontId="0" fillId="37" borderId="15" xfId="0" applyFont="1" applyFill="1" applyBorder="1" applyAlignment="1">
      <alignment/>
    </xf>
    <xf numFmtId="2" fontId="9" fillId="37" borderId="16" xfId="0" applyNumberFormat="1" applyFont="1" applyFill="1" applyBorder="1" applyAlignment="1">
      <alignment horizontal="center" wrapText="1"/>
    </xf>
    <xf numFmtId="0" fontId="0" fillId="37" borderId="17" xfId="0" applyFont="1" applyFill="1" applyBorder="1" applyAlignment="1">
      <alignment/>
    </xf>
    <xf numFmtId="2" fontId="13" fillId="37" borderId="18" xfId="0" applyNumberFormat="1" applyFont="1" applyFill="1" applyBorder="1" applyAlignment="1">
      <alignment horizontal="center"/>
    </xf>
    <xf numFmtId="0" fontId="0" fillId="37" borderId="19" xfId="0" applyFont="1" applyFill="1" applyBorder="1" applyAlignment="1">
      <alignment/>
    </xf>
    <xf numFmtId="0" fontId="13" fillId="33" borderId="20" xfId="0" applyFont="1" applyFill="1" applyBorder="1" applyAlignment="1">
      <alignment horizontal="center"/>
    </xf>
    <xf numFmtId="0" fontId="0" fillId="36" borderId="21" xfId="0" applyFont="1" applyFill="1" applyBorder="1" applyAlignment="1">
      <alignment horizontal="center"/>
    </xf>
    <xf numFmtId="0" fontId="0" fillId="36" borderId="13" xfId="0" applyFont="1" applyFill="1" applyBorder="1" applyAlignment="1">
      <alignment horizontal="center"/>
    </xf>
    <xf numFmtId="1" fontId="13" fillId="34" borderId="10" xfId="0" applyNumberFormat="1" applyFont="1" applyFill="1" applyBorder="1" applyAlignment="1">
      <alignment horizontal="center"/>
    </xf>
    <xf numFmtId="0" fontId="0" fillId="38" borderId="0" xfId="0" applyFont="1" applyFill="1" applyBorder="1" applyAlignment="1">
      <alignment/>
    </xf>
    <xf numFmtId="172" fontId="15" fillId="34" borderId="10" xfId="0" applyNumberFormat="1" applyFont="1" applyFill="1" applyBorder="1" applyAlignment="1">
      <alignment horizontal="center"/>
    </xf>
    <xf numFmtId="0" fontId="0" fillId="37" borderId="0" xfId="0" applyFont="1" applyFill="1" applyBorder="1" applyAlignment="1">
      <alignment horizontal="left"/>
    </xf>
    <xf numFmtId="0" fontId="2" fillId="39" borderId="0" xfId="0" applyFont="1" applyFill="1" applyAlignment="1">
      <alignment/>
    </xf>
    <xf numFmtId="0" fontId="0" fillId="39" borderId="0" xfId="0" applyFont="1" applyFill="1" applyAlignment="1">
      <alignment/>
    </xf>
    <xf numFmtId="0" fontId="0" fillId="39" borderId="0" xfId="0" applyFont="1" applyFill="1" applyBorder="1" applyAlignment="1">
      <alignment horizontal="left"/>
    </xf>
    <xf numFmtId="0" fontId="0" fillId="39" borderId="0" xfId="0" applyFont="1" applyFill="1" applyBorder="1" applyAlignment="1">
      <alignment/>
    </xf>
    <xf numFmtId="0" fontId="0" fillId="39" borderId="0" xfId="0" applyFont="1" applyFill="1" applyBorder="1" applyAlignment="1">
      <alignment horizontal="center"/>
    </xf>
    <xf numFmtId="1" fontId="6" fillId="39" borderId="0" xfId="0" applyNumberFormat="1" applyFont="1" applyFill="1" applyBorder="1" applyAlignment="1">
      <alignment horizontal="center"/>
    </xf>
    <xf numFmtId="0" fontId="0" fillId="39" borderId="0" xfId="0" applyFont="1" applyFill="1" applyAlignment="1">
      <alignment horizontal="center"/>
    </xf>
    <xf numFmtId="0" fontId="0" fillId="39" borderId="0" xfId="0" applyFont="1" applyFill="1" applyAlignment="1">
      <alignment/>
    </xf>
    <xf numFmtId="0" fontId="2" fillId="40" borderId="0" xfId="0" applyFont="1" applyFill="1" applyAlignment="1">
      <alignment/>
    </xf>
    <xf numFmtId="0" fontId="0" fillId="40" borderId="0" xfId="0" applyFont="1" applyFill="1" applyAlignment="1">
      <alignment/>
    </xf>
    <xf numFmtId="0" fontId="0" fillId="40" borderId="0" xfId="0" applyFont="1" applyFill="1" applyAlignment="1">
      <alignment/>
    </xf>
    <xf numFmtId="172" fontId="0" fillId="40" borderId="0" xfId="0" applyNumberFormat="1" applyFont="1" applyFill="1" applyAlignment="1">
      <alignment/>
    </xf>
    <xf numFmtId="0" fontId="0" fillId="40" borderId="0" xfId="0" applyFont="1" applyFill="1" applyBorder="1" applyAlignment="1">
      <alignment horizontal="left"/>
    </xf>
    <xf numFmtId="0" fontId="0" fillId="40" borderId="0" xfId="0" applyFont="1" applyFill="1" applyAlignment="1">
      <alignment horizontal="center"/>
    </xf>
    <xf numFmtId="0" fontId="0" fillId="40" borderId="0" xfId="0" applyFont="1" applyFill="1" applyBorder="1" applyAlignment="1">
      <alignment/>
    </xf>
    <xf numFmtId="0" fontId="0" fillId="40" borderId="0" xfId="0" applyFont="1" applyFill="1" applyBorder="1" applyAlignment="1">
      <alignment horizontal="center"/>
    </xf>
    <xf numFmtId="1" fontId="6" fillId="40" borderId="0" xfId="0" applyNumberFormat="1" applyFont="1" applyFill="1" applyBorder="1" applyAlignment="1">
      <alignment horizontal="center"/>
    </xf>
    <xf numFmtId="2" fontId="0" fillId="40" borderId="0" xfId="0" applyNumberFormat="1" applyFont="1" applyFill="1" applyAlignment="1">
      <alignment/>
    </xf>
    <xf numFmtId="1" fontId="0" fillId="40" borderId="0" xfId="0" applyNumberFormat="1" applyFont="1" applyFill="1" applyAlignment="1">
      <alignment/>
    </xf>
    <xf numFmtId="0" fontId="2" fillId="38" borderId="0" xfId="0" applyFont="1" applyFill="1" applyBorder="1" applyAlignment="1">
      <alignment/>
    </xf>
    <xf numFmtId="172" fontId="0" fillId="38" borderId="0" xfId="0" applyNumberFormat="1" applyFont="1" applyFill="1" applyBorder="1" applyAlignment="1">
      <alignment/>
    </xf>
    <xf numFmtId="172" fontId="0" fillId="33" borderId="0" xfId="0" applyNumberFormat="1" applyFont="1" applyFill="1" applyAlignment="1">
      <alignment/>
    </xf>
    <xf numFmtId="2" fontId="9" fillId="33" borderId="15" xfId="0" applyNumberFormat="1" applyFont="1" applyFill="1" applyBorder="1" applyAlignment="1">
      <alignment horizontal="center" wrapText="1"/>
    </xf>
    <xf numFmtId="2" fontId="9" fillId="33" borderId="17" xfId="0" applyNumberFormat="1" applyFont="1" applyFill="1" applyBorder="1" applyAlignment="1">
      <alignment horizontal="center" wrapText="1"/>
    </xf>
    <xf numFmtId="0" fontId="0" fillId="33" borderId="0" xfId="0" applyFont="1" applyFill="1" applyAlignment="1">
      <alignment/>
    </xf>
    <xf numFmtId="1" fontId="4" fillId="34" borderId="10" xfId="0" applyNumberFormat="1" applyFont="1" applyFill="1" applyBorder="1" applyAlignment="1">
      <alignment horizontal="center"/>
    </xf>
    <xf numFmtId="2" fontId="9" fillId="35" borderId="21" xfId="0" applyNumberFormat="1" applyFont="1" applyFill="1" applyBorder="1" applyAlignment="1">
      <alignment horizontal="center" wrapText="1"/>
    </xf>
    <xf numFmtId="2" fontId="9" fillId="35" borderId="13" xfId="0" applyNumberFormat="1" applyFont="1" applyFill="1" applyBorder="1" applyAlignment="1">
      <alignment horizontal="center" wrapText="1"/>
    </xf>
    <xf numFmtId="1" fontId="8" fillId="35" borderId="0" xfId="0" applyNumberFormat="1" applyFont="1" applyFill="1" applyBorder="1" applyAlignment="1">
      <alignment horizontal="center"/>
    </xf>
    <xf numFmtId="0" fontId="0" fillId="35" borderId="0" xfId="0" applyFont="1" applyFill="1" applyAlignment="1">
      <alignment/>
    </xf>
    <xf numFmtId="0" fontId="13" fillId="34" borderId="12" xfId="0" applyFont="1" applyFill="1" applyBorder="1" applyAlignment="1">
      <alignment horizontal="center"/>
    </xf>
    <xf numFmtId="1" fontId="0" fillId="36" borderId="0" xfId="0" applyNumberFormat="1" applyFont="1" applyFill="1" applyBorder="1" applyAlignment="1">
      <alignment/>
    </xf>
    <xf numFmtId="0" fontId="0" fillId="36" borderId="13" xfId="0" applyFill="1" applyBorder="1" applyAlignment="1">
      <alignment horizontal="center"/>
    </xf>
    <xf numFmtId="1" fontId="0" fillId="36" borderId="0" xfId="0" applyNumberFormat="1" applyFont="1" applyFill="1" applyBorder="1" applyAlignment="1">
      <alignment horizontal="center"/>
    </xf>
    <xf numFmtId="2" fontId="0" fillId="37" borderId="14" xfId="0" applyNumberFormat="1" applyFont="1" applyFill="1" applyBorder="1" applyAlignment="1">
      <alignment horizontal="center"/>
    </xf>
    <xf numFmtId="0" fontId="0" fillId="37" borderId="22" xfId="0" applyFont="1" applyFill="1" applyBorder="1" applyAlignment="1">
      <alignment/>
    </xf>
    <xf numFmtId="0" fontId="0" fillId="37" borderId="23" xfId="0" applyFont="1" applyFill="1" applyBorder="1" applyAlignment="1">
      <alignment/>
    </xf>
    <xf numFmtId="0" fontId="0" fillId="37" borderId="0" xfId="0" applyFont="1" applyFill="1" applyAlignment="1">
      <alignment/>
    </xf>
    <xf numFmtId="2" fontId="9" fillId="39" borderId="21" xfId="0" applyNumberFormat="1" applyFont="1" applyFill="1" applyBorder="1" applyAlignment="1">
      <alignment horizontal="center" wrapText="1"/>
    </xf>
    <xf numFmtId="2" fontId="9" fillId="39" borderId="13" xfId="0" applyNumberFormat="1" applyFont="1" applyFill="1" applyBorder="1" applyAlignment="1">
      <alignment horizontal="center" wrapText="1"/>
    </xf>
    <xf numFmtId="0" fontId="13" fillId="39" borderId="20" xfId="0" applyFont="1" applyFill="1" applyBorder="1" applyAlignment="1">
      <alignment horizontal="center"/>
    </xf>
    <xf numFmtId="173" fontId="6" fillId="39" borderId="0" xfId="0" applyNumberFormat="1" applyFont="1" applyFill="1" applyBorder="1" applyAlignment="1">
      <alignment horizontal="center"/>
    </xf>
    <xf numFmtId="2" fontId="9" fillId="40" borderId="21" xfId="0" applyNumberFormat="1" applyFont="1" applyFill="1" applyBorder="1" applyAlignment="1">
      <alignment horizontal="center" wrapText="1"/>
    </xf>
    <xf numFmtId="2" fontId="9" fillId="40" borderId="13" xfId="0" applyNumberFormat="1" applyFont="1" applyFill="1" applyBorder="1" applyAlignment="1">
      <alignment horizontal="center" wrapText="1"/>
    </xf>
    <xf numFmtId="0" fontId="13" fillId="40" borderId="20" xfId="0" applyFont="1" applyFill="1" applyBorder="1" applyAlignment="1">
      <alignment horizontal="center"/>
    </xf>
    <xf numFmtId="173" fontId="6" fillId="40" borderId="0" xfId="0" applyNumberFormat="1" applyFont="1" applyFill="1" applyBorder="1" applyAlignment="1">
      <alignment horizontal="center"/>
    </xf>
    <xf numFmtId="0" fontId="0" fillId="38" borderId="0" xfId="0" applyFont="1" applyFill="1" applyAlignment="1">
      <alignment vertical="center"/>
    </xf>
    <xf numFmtId="0" fontId="0" fillId="38" borderId="0" xfId="0" applyFont="1" applyFill="1" applyBorder="1" applyAlignment="1">
      <alignment vertical="center"/>
    </xf>
    <xf numFmtId="0" fontId="0" fillId="34" borderId="20" xfId="0" applyFont="1" applyFill="1" applyBorder="1" applyAlignment="1">
      <alignment horizontal="center"/>
    </xf>
    <xf numFmtId="0" fontId="5" fillId="34" borderId="10" xfId="0" applyNumberFormat="1" applyFont="1" applyFill="1" applyBorder="1" applyAlignment="1">
      <alignment horizontal="center"/>
    </xf>
    <xf numFmtId="0" fontId="0" fillId="38" borderId="0" xfId="0" applyFill="1" applyAlignment="1">
      <alignment vertical="center"/>
    </xf>
    <xf numFmtId="2" fontId="0" fillId="38" borderId="0" xfId="0" applyNumberFormat="1" applyFont="1" applyFill="1" applyBorder="1" applyAlignment="1">
      <alignment horizontal="center"/>
    </xf>
    <xf numFmtId="1" fontId="8" fillId="38" borderId="0" xfId="0" applyNumberFormat="1" applyFont="1" applyFill="1" applyBorder="1" applyAlignment="1">
      <alignment horizontal="center"/>
    </xf>
    <xf numFmtId="172" fontId="0" fillId="38" borderId="0" xfId="0" applyNumberFormat="1" applyFont="1" applyFill="1" applyAlignment="1">
      <alignment vertical="center"/>
    </xf>
    <xf numFmtId="172" fontId="0" fillId="38" borderId="0" xfId="0" applyNumberFormat="1" applyFont="1" applyFill="1" applyBorder="1" applyAlignment="1">
      <alignment horizontal="center"/>
    </xf>
    <xf numFmtId="0" fontId="0" fillId="38" borderId="0" xfId="0" applyFont="1" applyFill="1" applyBorder="1" applyAlignment="1">
      <alignment horizontal="center"/>
    </xf>
    <xf numFmtId="0" fontId="11" fillId="34" borderId="10" xfId="0" applyNumberFormat="1" applyFont="1" applyFill="1" applyBorder="1" applyAlignment="1">
      <alignment horizontal="center"/>
    </xf>
    <xf numFmtId="0" fontId="11" fillId="38" borderId="0" xfId="0" applyFont="1" applyFill="1" applyBorder="1" applyAlignment="1">
      <alignment horizontal="right"/>
    </xf>
    <xf numFmtId="0" fontId="0" fillId="38" borderId="0" xfId="0" applyFont="1" applyFill="1" applyBorder="1" applyAlignment="1">
      <alignment horizontal="left"/>
    </xf>
    <xf numFmtId="0" fontId="11" fillId="34" borderId="12" xfId="0" applyFont="1" applyFill="1" applyBorder="1" applyAlignment="1">
      <alignment horizontal="right"/>
    </xf>
    <xf numFmtId="0" fontId="0" fillId="34" borderId="19" xfId="0" applyFont="1" applyFill="1" applyBorder="1" applyAlignment="1">
      <alignment horizontal="center"/>
    </xf>
    <xf numFmtId="0" fontId="5" fillId="34" borderId="12" xfId="0" applyFont="1" applyFill="1" applyBorder="1" applyAlignment="1">
      <alignment horizontal="right"/>
    </xf>
    <xf numFmtId="0" fontId="0" fillId="38" borderId="0" xfId="0" applyFont="1" applyFill="1" applyAlignment="1">
      <alignment/>
    </xf>
    <xf numFmtId="172" fontId="0" fillId="38" borderId="0" xfId="0" applyNumberFormat="1" applyFont="1" applyFill="1" applyAlignment="1">
      <alignment/>
    </xf>
    <xf numFmtId="172" fontId="0" fillId="0" borderId="0" xfId="0" applyNumberFormat="1" applyFont="1" applyFill="1" applyBorder="1" applyAlignment="1">
      <alignment horizontal="center"/>
    </xf>
    <xf numFmtId="0" fontId="0" fillId="0" borderId="16" xfId="0" applyFont="1" applyBorder="1" applyAlignment="1">
      <alignment vertical="center"/>
    </xf>
    <xf numFmtId="0" fontId="0" fillId="0" borderId="16" xfId="0" applyBorder="1" applyAlignment="1">
      <alignment vertical="center"/>
    </xf>
    <xf numFmtId="0" fontId="0" fillId="0" borderId="23" xfId="0" applyFont="1" applyBorder="1" applyAlignment="1">
      <alignment vertical="center"/>
    </xf>
    <xf numFmtId="0" fontId="0" fillId="0" borderId="16" xfId="0" applyFont="1" applyFill="1" applyBorder="1" applyAlignment="1">
      <alignment/>
    </xf>
    <xf numFmtId="0" fontId="15" fillId="38" borderId="0" xfId="0" applyFont="1" applyFill="1" applyAlignment="1">
      <alignment vertical="center"/>
    </xf>
    <xf numFmtId="0" fontId="15" fillId="38" borderId="0" xfId="0" applyFont="1" applyFill="1" applyAlignment="1">
      <alignment horizontal="right" vertical="center"/>
    </xf>
    <xf numFmtId="1" fontId="6" fillId="38" borderId="0" xfId="0" applyNumberFormat="1" applyFont="1" applyFill="1" applyBorder="1" applyAlignment="1">
      <alignment horizontal="center"/>
    </xf>
    <xf numFmtId="1" fontId="0" fillId="38" borderId="0" xfId="0" applyNumberFormat="1" applyFont="1" applyFill="1" applyBorder="1" applyAlignment="1">
      <alignment/>
    </xf>
    <xf numFmtId="1" fontId="0" fillId="38" borderId="0" xfId="0" applyNumberFormat="1" applyFont="1" applyFill="1" applyBorder="1" applyAlignment="1">
      <alignment horizontal="center"/>
    </xf>
    <xf numFmtId="2" fontId="0" fillId="38" borderId="0" xfId="0" applyNumberFormat="1" applyFont="1" applyFill="1" applyAlignment="1">
      <alignment/>
    </xf>
    <xf numFmtId="2" fontId="0" fillId="38" borderId="0" xfId="0" applyNumberFormat="1" applyFont="1" applyFill="1" applyBorder="1" applyAlignment="1">
      <alignment/>
    </xf>
    <xf numFmtId="173" fontId="6" fillId="38" borderId="0" xfId="0" applyNumberFormat="1" applyFont="1" applyFill="1" applyBorder="1" applyAlignment="1">
      <alignment horizontal="center"/>
    </xf>
    <xf numFmtId="172" fontId="0" fillId="40" borderId="0" xfId="0" applyNumberFormat="1" applyFont="1" applyFill="1" applyBorder="1" applyAlignment="1">
      <alignment/>
    </xf>
    <xf numFmtId="1" fontId="0" fillId="40" borderId="0" xfId="0" applyNumberFormat="1" applyFont="1" applyFill="1" applyBorder="1" applyAlignment="1">
      <alignment/>
    </xf>
    <xf numFmtId="0" fontId="5" fillId="34" borderId="11" xfId="0" applyNumberFormat="1" applyFont="1" applyFill="1" applyBorder="1" applyAlignment="1">
      <alignment horizontal="center"/>
    </xf>
    <xf numFmtId="2" fontId="9" fillId="33" borderId="21" xfId="0" applyNumberFormat="1" applyFont="1" applyFill="1" applyBorder="1" applyAlignment="1">
      <alignment wrapText="1"/>
    </xf>
    <xf numFmtId="2" fontId="9" fillId="33" borderId="13" xfId="0" applyNumberFormat="1" applyFont="1" applyFill="1" applyBorder="1" applyAlignment="1">
      <alignment wrapText="1"/>
    </xf>
    <xf numFmtId="0" fontId="0" fillId="34" borderId="18" xfId="0" applyFont="1" applyFill="1" applyBorder="1" applyAlignment="1">
      <alignment horizontal="center"/>
    </xf>
    <xf numFmtId="173" fontId="19" fillId="38" borderId="0" xfId="0" applyNumberFormat="1" applyFont="1" applyFill="1" applyBorder="1" applyAlignment="1">
      <alignment horizontal="center"/>
    </xf>
    <xf numFmtId="2" fontId="19" fillId="38" borderId="0" xfId="0" applyNumberFormat="1" applyFont="1" applyFill="1" applyBorder="1" applyAlignment="1">
      <alignment horizontal="center"/>
    </xf>
    <xf numFmtId="1" fontId="0" fillId="36" borderId="0" xfId="0" applyNumberFormat="1" applyFont="1" applyFill="1" applyAlignment="1">
      <alignment horizontal="center"/>
    </xf>
    <xf numFmtId="0" fontId="0" fillId="36" borderId="0" xfId="0" applyFont="1" applyFill="1" applyAlignment="1">
      <alignment horizontal="left"/>
    </xf>
    <xf numFmtId="173" fontId="0" fillId="38" borderId="0" xfId="0" applyNumberFormat="1" applyFont="1" applyFill="1" applyAlignment="1">
      <alignment horizontal="left" vertical="center"/>
    </xf>
    <xf numFmtId="1" fontId="20" fillId="34" borderId="20" xfId="0" applyNumberFormat="1" applyFont="1" applyFill="1" applyBorder="1" applyAlignment="1">
      <alignment horizontal="center" vertical="center" wrapText="1"/>
    </xf>
    <xf numFmtId="1" fontId="15" fillId="37" borderId="0" xfId="0" applyNumberFormat="1" applyFont="1" applyFill="1" applyBorder="1" applyAlignment="1">
      <alignment horizontal="left"/>
    </xf>
    <xf numFmtId="0" fontId="0" fillId="37" borderId="0" xfId="0" applyFont="1" applyFill="1" applyBorder="1" applyAlignment="1">
      <alignment horizontal="right"/>
    </xf>
    <xf numFmtId="2" fontId="0" fillId="38" borderId="0" xfId="0" applyNumberFormat="1" applyFont="1" applyFill="1" applyBorder="1" applyAlignment="1">
      <alignment horizontal="left"/>
    </xf>
    <xf numFmtId="0" fontId="0" fillId="0" borderId="0" xfId="0" applyFont="1" applyFill="1" applyAlignment="1">
      <alignment vertical="center"/>
    </xf>
    <xf numFmtId="172" fontId="0" fillId="0" borderId="0" xfId="0" applyNumberFormat="1" applyFont="1" applyFill="1" applyAlignment="1">
      <alignment vertical="center"/>
    </xf>
    <xf numFmtId="2" fontId="19" fillId="0" borderId="0" xfId="0" applyNumberFormat="1" applyFont="1" applyFill="1" applyBorder="1" applyAlignment="1">
      <alignment horizontal="center"/>
    </xf>
    <xf numFmtId="1" fontId="8" fillId="0" borderId="0" xfId="0" applyNumberFormat="1" applyFont="1" applyFill="1" applyBorder="1" applyAlignment="1">
      <alignment horizontal="center"/>
    </xf>
    <xf numFmtId="0" fontId="0" fillId="0" borderId="0" xfId="0" applyFont="1" applyFill="1" applyAlignment="1">
      <alignment horizontal="center"/>
    </xf>
    <xf numFmtId="172" fontId="12" fillId="0" borderId="12" xfId="0" applyNumberFormat="1" applyFont="1" applyFill="1" applyBorder="1" applyAlignment="1">
      <alignment horizontal="center"/>
    </xf>
    <xf numFmtId="173" fontId="0" fillId="0" borderId="0" xfId="0" applyNumberFormat="1" applyFont="1" applyFill="1" applyBorder="1" applyAlignment="1">
      <alignment horizontal="center"/>
    </xf>
    <xf numFmtId="172" fontId="0" fillId="0" borderId="0" xfId="0" applyNumberFormat="1" applyFont="1" applyFill="1" applyAlignment="1">
      <alignment horizontal="center"/>
    </xf>
    <xf numFmtId="172" fontId="12" fillId="0" borderId="10" xfId="0" applyNumberFormat="1" applyFont="1" applyFill="1" applyBorder="1" applyAlignment="1">
      <alignment horizontal="center"/>
    </xf>
    <xf numFmtId="172" fontId="0" fillId="0" borderId="0" xfId="0" applyNumberFormat="1" applyFont="1" applyFill="1" applyAlignment="1">
      <alignment/>
    </xf>
    <xf numFmtId="172" fontId="0" fillId="0" borderId="0" xfId="0" applyNumberFormat="1" applyFont="1" applyFill="1" applyBorder="1" applyAlignment="1">
      <alignment/>
    </xf>
    <xf numFmtId="2" fontId="0" fillId="36" borderId="0" xfId="0" applyNumberFormat="1" applyFont="1" applyFill="1" applyAlignment="1">
      <alignment horizontal="center"/>
    </xf>
    <xf numFmtId="2" fontId="0" fillId="37" borderId="0" xfId="0" applyNumberFormat="1" applyFont="1" applyFill="1" applyAlignment="1">
      <alignment horizontal="center"/>
    </xf>
    <xf numFmtId="2" fontId="0" fillId="39" borderId="0" xfId="0" applyNumberFormat="1" applyFont="1" applyFill="1" applyAlignment="1">
      <alignment horizontal="center"/>
    </xf>
    <xf numFmtId="2" fontId="0" fillId="40" borderId="0" xfId="0" applyNumberFormat="1" applyFont="1" applyFill="1" applyAlignment="1">
      <alignment horizontal="center"/>
    </xf>
    <xf numFmtId="1" fontId="6" fillId="0" borderId="0" xfId="0" applyNumberFormat="1" applyFont="1" applyFill="1" applyBorder="1" applyAlignment="1">
      <alignment horizontal="center"/>
    </xf>
    <xf numFmtId="0" fontId="12" fillId="0" borderId="0" xfId="0" applyFont="1" applyFill="1" applyAlignment="1">
      <alignment/>
    </xf>
    <xf numFmtId="0" fontId="12" fillId="0" borderId="0" xfId="0" applyFont="1" applyFill="1" applyBorder="1" applyAlignment="1">
      <alignment horizontal="center"/>
    </xf>
    <xf numFmtId="1" fontId="21" fillId="0" borderId="0" xfId="0" applyNumberFormat="1" applyFont="1" applyFill="1" applyBorder="1" applyAlignment="1">
      <alignment horizontal="center"/>
    </xf>
    <xf numFmtId="173" fontId="21" fillId="0" borderId="0" xfId="0" applyNumberFormat="1" applyFont="1" applyFill="1" applyBorder="1" applyAlignment="1">
      <alignment horizontal="center"/>
    </xf>
    <xf numFmtId="0" fontId="12" fillId="0" borderId="0" xfId="0" applyFont="1" applyFill="1" applyAlignment="1">
      <alignment vertical="center"/>
    </xf>
    <xf numFmtId="173" fontId="12" fillId="0" borderId="0" xfId="0" applyNumberFormat="1" applyFont="1" applyFill="1" applyAlignment="1">
      <alignment horizontal="left" vertical="center"/>
    </xf>
    <xf numFmtId="2" fontId="21" fillId="0" borderId="0" xfId="0" applyNumberFormat="1" applyFont="1" applyFill="1" applyBorder="1" applyAlignment="1">
      <alignment horizontal="center"/>
    </xf>
    <xf numFmtId="0" fontId="12" fillId="0" borderId="0" xfId="0" applyFont="1" applyFill="1" applyAlignment="1">
      <alignment horizontal="center"/>
    </xf>
    <xf numFmtId="1" fontId="12" fillId="0" borderId="10" xfId="0" applyNumberFormat="1" applyFont="1" applyFill="1" applyBorder="1" applyAlignment="1">
      <alignment horizontal="center"/>
    </xf>
    <xf numFmtId="172" fontId="12" fillId="0" borderId="0" xfId="0" applyNumberFormat="1" applyFont="1" applyFill="1" applyBorder="1" applyAlignment="1">
      <alignment/>
    </xf>
    <xf numFmtId="0" fontId="12" fillId="0" borderId="0" xfId="0" applyFont="1" applyFill="1" applyBorder="1" applyAlignment="1">
      <alignment/>
    </xf>
    <xf numFmtId="1" fontId="12" fillId="0" borderId="0" xfId="0" applyNumberFormat="1" applyFont="1" applyFill="1" applyBorder="1" applyAlignment="1">
      <alignment horizontal="center"/>
    </xf>
    <xf numFmtId="172" fontId="6" fillId="34" borderId="10" xfId="0" applyNumberFormat="1" applyFont="1" applyFill="1" applyBorder="1" applyAlignment="1">
      <alignment horizontal="center"/>
    </xf>
    <xf numFmtId="2" fontId="0" fillId="0" borderId="0" xfId="0" applyNumberFormat="1" applyFont="1" applyFill="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horizontal="center"/>
    </xf>
    <xf numFmtId="1" fontId="0" fillId="0" borderId="0" xfId="0" applyNumberFormat="1" applyFont="1" applyFill="1" applyAlignment="1">
      <alignment/>
    </xf>
    <xf numFmtId="172" fontId="8" fillId="38" borderId="0" xfId="0" applyNumberFormat="1" applyFont="1" applyFill="1" applyBorder="1" applyAlignment="1">
      <alignment horizontal="center"/>
    </xf>
    <xf numFmtId="172" fontId="12" fillId="0" borderId="11" xfId="0" applyNumberFormat="1" applyFont="1" applyFill="1" applyBorder="1" applyAlignment="1">
      <alignment horizontal="left"/>
    </xf>
    <xf numFmtId="172" fontId="12" fillId="0" borderId="10" xfId="0" applyNumberFormat="1" applyFont="1" applyFill="1" applyBorder="1" applyAlignment="1">
      <alignment horizontal="left"/>
    </xf>
    <xf numFmtId="0" fontId="0" fillId="0" borderId="10" xfId="0" applyFont="1" applyFill="1" applyBorder="1" applyAlignment="1">
      <alignment/>
    </xf>
    <xf numFmtId="172" fontId="0" fillId="0" borderId="10" xfId="0" applyNumberFormat="1" applyFont="1" applyFill="1" applyBorder="1" applyAlignment="1">
      <alignment/>
    </xf>
    <xf numFmtId="0" fontId="2" fillId="0" borderId="14" xfId="0" applyFont="1" applyFill="1" applyBorder="1" applyAlignment="1">
      <alignment/>
    </xf>
    <xf numFmtId="0" fontId="0" fillId="0" borderId="22" xfId="0" applyFont="1" applyFill="1" applyBorder="1" applyAlignment="1">
      <alignment horizontal="center"/>
    </xf>
    <xf numFmtId="0" fontId="0" fillId="0" borderId="22" xfId="0" applyFont="1" applyFill="1" applyBorder="1" applyAlignment="1">
      <alignment/>
    </xf>
    <xf numFmtId="0" fontId="0" fillId="0" borderId="15" xfId="0" applyFont="1" applyFill="1" applyBorder="1" applyAlignment="1">
      <alignment horizontal="center"/>
    </xf>
    <xf numFmtId="0" fontId="0" fillId="0" borderId="17" xfId="0" applyFont="1" applyFill="1" applyBorder="1" applyAlignment="1">
      <alignment horizontal="center"/>
    </xf>
    <xf numFmtId="0" fontId="0" fillId="0" borderId="17" xfId="0" applyFont="1" applyBorder="1" applyAlignment="1">
      <alignment vertical="center"/>
    </xf>
    <xf numFmtId="0" fontId="0" fillId="34" borderId="18" xfId="0" applyFont="1" applyFill="1" applyBorder="1" applyAlignment="1">
      <alignment vertical="center"/>
    </xf>
    <xf numFmtId="0" fontId="0" fillId="0" borderId="19" xfId="0" applyFont="1" applyBorder="1" applyAlignment="1">
      <alignment vertical="center"/>
    </xf>
    <xf numFmtId="0" fontId="13" fillId="34" borderId="20" xfId="0" applyNumberFormat="1" applyFont="1" applyFill="1" applyBorder="1" applyAlignment="1">
      <alignment horizontal="center"/>
    </xf>
    <xf numFmtId="0" fontId="13" fillId="34" borderId="10" xfId="0" applyNumberFormat="1" applyFont="1" applyFill="1" applyBorder="1" applyAlignment="1">
      <alignment horizontal="center"/>
    </xf>
    <xf numFmtId="0" fontId="13" fillId="33" borderId="19" xfId="0" applyNumberFormat="1" applyFont="1" applyFill="1" applyBorder="1" applyAlignment="1">
      <alignment horizontal="center"/>
    </xf>
    <xf numFmtId="0" fontId="13" fillId="35" borderId="20" xfId="0" applyNumberFormat="1" applyFont="1" applyFill="1" applyBorder="1" applyAlignment="1">
      <alignment horizontal="center"/>
    </xf>
    <xf numFmtId="0" fontId="13" fillId="34" borderId="12" xfId="0" applyNumberFormat="1" applyFont="1" applyFill="1" applyBorder="1" applyAlignment="1">
      <alignment horizontal="center"/>
    </xf>
    <xf numFmtId="0" fontId="6" fillId="36" borderId="20" xfId="0" applyNumberFormat="1" applyFont="1" applyFill="1" applyBorder="1" applyAlignment="1">
      <alignment horizontal="center"/>
    </xf>
    <xf numFmtId="0" fontId="2" fillId="41" borderId="0" xfId="0" applyFont="1" applyFill="1" applyBorder="1" applyAlignment="1">
      <alignment/>
    </xf>
    <xf numFmtId="0" fontId="0" fillId="41" borderId="0" xfId="0" applyFont="1" applyFill="1" applyAlignment="1">
      <alignment/>
    </xf>
    <xf numFmtId="0" fontId="0" fillId="41" borderId="0" xfId="0" applyFont="1" applyFill="1" applyBorder="1" applyAlignment="1">
      <alignment/>
    </xf>
    <xf numFmtId="0" fontId="0" fillId="41" borderId="0" xfId="0" applyFont="1" applyFill="1" applyAlignment="1">
      <alignment/>
    </xf>
    <xf numFmtId="0" fontId="0" fillId="41" borderId="0" xfId="0" applyFont="1" applyFill="1" applyBorder="1" applyAlignment="1">
      <alignment horizontal="left"/>
    </xf>
    <xf numFmtId="0" fontId="0" fillId="41" borderId="0" xfId="0" applyFont="1" applyFill="1" applyBorder="1" applyAlignment="1">
      <alignment horizontal="center"/>
    </xf>
    <xf numFmtId="2" fontId="9" fillId="41" borderId="21" xfId="0" applyNumberFormat="1" applyFont="1" applyFill="1" applyBorder="1" applyAlignment="1">
      <alignment horizontal="center" wrapText="1"/>
    </xf>
    <xf numFmtId="2" fontId="9" fillId="41" borderId="13" xfId="0" applyNumberFormat="1" applyFont="1" applyFill="1" applyBorder="1" applyAlignment="1">
      <alignment horizontal="center" wrapText="1"/>
    </xf>
    <xf numFmtId="0" fontId="13" fillId="41" borderId="20" xfId="0" applyFont="1" applyFill="1" applyBorder="1" applyAlignment="1">
      <alignment horizontal="center"/>
    </xf>
    <xf numFmtId="0" fontId="0" fillId="41" borderId="0" xfId="0" applyFont="1" applyFill="1" applyAlignment="1">
      <alignment horizontal="center"/>
    </xf>
    <xf numFmtId="1" fontId="6" fillId="41" borderId="0" xfId="0" applyNumberFormat="1" applyFont="1" applyFill="1" applyBorder="1" applyAlignment="1">
      <alignment horizontal="center"/>
    </xf>
    <xf numFmtId="173" fontId="6" fillId="41" borderId="0" xfId="0" applyNumberFormat="1" applyFont="1" applyFill="1" applyBorder="1" applyAlignment="1">
      <alignment horizontal="center"/>
    </xf>
    <xf numFmtId="0" fontId="0" fillId="41" borderId="0" xfId="0" applyFont="1" applyFill="1" applyBorder="1" applyAlignment="1">
      <alignment/>
    </xf>
    <xf numFmtId="2" fontId="0" fillId="41" borderId="0" xfId="0" applyNumberFormat="1" applyFont="1" applyFill="1" applyBorder="1" applyAlignment="1">
      <alignment horizontal="center"/>
    </xf>
    <xf numFmtId="1" fontId="8" fillId="41" borderId="0" xfId="0" applyNumberFormat="1" applyFont="1" applyFill="1" applyBorder="1" applyAlignment="1">
      <alignment horizontal="center"/>
    </xf>
    <xf numFmtId="1" fontId="0" fillId="41" borderId="0" xfId="0" applyNumberFormat="1" applyFont="1" applyFill="1" applyAlignment="1">
      <alignment horizontal="center"/>
    </xf>
    <xf numFmtId="2" fontId="0" fillId="41" borderId="0" xfId="0" applyNumberFormat="1" applyFont="1" applyFill="1" applyAlignment="1">
      <alignment horizontal="center"/>
    </xf>
    <xf numFmtId="0" fontId="0" fillId="41" borderId="0" xfId="0" applyFont="1" applyFill="1" applyAlignment="1">
      <alignment horizontal="left"/>
    </xf>
    <xf numFmtId="172" fontId="0" fillId="41" borderId="0" xfId="0" applyNumberFormat="1" applyFont="1" applyFill="1" applyBorder="1" applyAlignment="1">
      <alignment/>
    </xf>
    <xf numFmtId="0" fontId="22" fillId="34" borderId="10" xfId="0" applyFont="1" applyFill="1" applyBorder="1" applyAlignment="1">
      <alignment horizontal="right"/>
    </xf>
    <xf numFmtId="0" fontId="13" fillId="34" borderId="10" xfId="0" applyNumberFormat="1" applyFont="1" applyFill="1" applyBorder="1" applyAlignment="1">
      <alignment horizontal="center" wrapText="1"/>
    </xf>
    <xf numFmtId="0" fontId="15" fillId="34" borderId="10" xfId="0" applyFont="1" applyFill="1" applyBorder="1" applyAlignment="1">
      <alignment horizontal="right"/>
    </xf>
    <xf numFmtId="0" fontId="15" fillId="0" borderId="10" xfId="0" applyFont="1" applyBorder="1" applyAlignment="1">
      <alignment horizontal="right"/>
    </xf>
    <xf numFmtId="0" fontId="6" fillId="39" borderId="0" xfId="0" applyFont="1" applyFill="1" applyAlignment="1">
      <alignment/>
    </xf>
    <xf numFmtId="2" fontId="0" fillId="34" borderId="10" xfId="0" applyNumberFormat="1" applyFont="1" applyFill="1" applyBorder="1" applyAlignment="1">
      <alignment horizontal="center"/>
    </xf>
    <xf numFmtId="2" fontId="0" fillId="0" borderId="0" xfId="0" applyNumberFormat="1" applyFont="1" applyBorder="1" applyAlignment="1">
      <alignment/>
    </xf>
    <xf numFmtId="2" fontId="12" fillId="0" borderId="10" xfId="0" applyNumberFormat="1" applyFont="1" applyFill="1" applyBorder="1" applyAlignment="1">
      <alignment horizontal="center"/>
    </xf>
    <xf numFmtId="0" fontId="13" fillId="0" borderId="10" xfId="0" applyFont="1" applyFill="1" applyBorder="1" applyAlignment="1">
      <alignment horizontal="center"/>
    </xf>
    <xf numFmtId="0" fontId="0" fillId="35" borderId="12" xfId="0" applyFont="1" applyFill="1" applyBorder="1" applyAlignment="1">
      <alignment/>
    </xf>
    <xf numFmtId="0" fontId="0" fillId="35" borderId="11" xfId="0" applyFont="1" applyFill="1" applyBorder="1" applyAlignment="1">
      <alignment/>
    </xf>
    <xf numFmtId="0" fontId="0" fillId="0" borderId="22" xfId="0" applyFont="1" applyFill="1" applyBorder="1" applyAlignment="1">
      <alignment horizontal="right"/>
    </xf>
    <xf numFmtId="0" fontId="11" fillId="34" borderId="10" xfId="0" applyNumberFormat="1" applyFont="1" applyFill="1" applyBorder="1" applyAlignment="1">
      <alignment horizontal="center" vertical="center"/>
    </xf>
    <xf numFmtId="0" fontId="59" fillId="0" borderId="10" xfId="0" applyFont="1" applyBorder="1" applyAlignment="1">
      <alignment horizontal="center" vertical="center"/>
    </xf>
    <xf numFmtId="0" fontId="59" fillId="34" borderId="10" xfId="0" applyNumberFormat="1" applyFont="1" applyFill="1" applyBorder="1" applyAlignment="1">
      <alignment horizontal="center" vertical="center"/>
    </xf>
    <xf numFmtId="0" fontId="15" fillId="38" borderId="10" xfId="0" applyFont="1" applyFill="1" applyBorder="1" applyAlignment="1">
      <alignment horizontal="center" vertical="center" wrapText="1"/>
    </xf>
    <xf numFmtId="0" fontId="15" fillId="38" borderId="12" xfId="0" applyFont="1" applyFill="1" applyBorder="1" applyAlignment="1">
      <alignment horizontal="center" vertical="center" wrapText="1"/>
    </xf>
    <xf numFmtId="0" fontId="15" fillId="38" borderId="11" xfId="0" applyFont="1" applyFill="1" applyBorder="1" applyAlignment="1">
      <alignment horizontal="center" vertical="center" wrapText="1"/>
    </xf>
    <xf numFmtId="2" fontId="60" fillId="0" borderId="10" xfId="0" applyNumberFormat="1" applyFont="1" applyBorder="1" applyAlignment="1">
      <alignment horizontal="center" vertical="center"/>
    </xf>
    <xf numFmtId="0" fontId="0" fillId="42" borderId="10" xfId="0" applyNumberFormat="1" applyFont="1" applyFill="1" applyBorder="1" applyAlignment="1">
      <alignment horizontal="center" vertical="center"/>
    </xf>
    <xf numFmtId="2" fontId="0" fillId="42" borderId="10" xfId="0" applyNumberFormat="1" applyFont="1" applyFill="1" applyBorder="1" applyAlignment="1">
      <alignment horizontal="center" vertical="center"/>
    </xf>
    <xf numFmtId="0" fontId="0" fillId="38" borderId="0" xfId="0" applyFont="1" applyFill="1" applyAlignment="1">
      <alignment horizontal="right" vertical="center"/>
    </xf>
    <xf numFmtId="173" fontId="0" fillId="0" borderId="0" xfId="0" applyNumberFormat="1" applyFont="1" applyAlignment="1">
      <alignment vertical="center"/>
    </xf>
    <xf numFmtId="2" fontId="8" fillId="38" borderId="0" xfId="0" applyNumberFormat="1" applyFont="1" applyFill="1" applyBorder="1" applyAlignment="1">
      <alignment horizontal="center"/>
    </xf>
    <xf numFmtId="0" fontId="0" fillId="33" borderId="0" xfId="0" applyFont="1" applyFill="1" applyBorder="1" applyAlignment="1">
      <alignment horizontal="right"/>
    </xf>
    <xf numFmtId="0" fontId="0" fillId="35" borderId="0" xfId="0" applyFont="1" applyFill="1" applyBorder="1" applyAlignment="1">
      <alignment horizontal="right"/>
    </xf>
    <xf numFmtId="0" fontId="0" fillId="36" borderId="0" xfId="0" applyFont="1" applyFill="1" applyAlignment="1">
      <alignment horizontal="right"/>
    </xf>
    <xf numFmtId="0" fontId="0" fillId="43" borderId="10" xfId="0" applyFont="1" applyFill="1" applyBorder="1" applyAlignment="1">
      <alignment horizontal="left" vertical="top" wrapText="1"/>
    </xf>
    <xf numFmtId="0" fontId="15" fillId="38" borderId="10" xfId="0" applyFont="1" applyFill="1" applyBorder="1" applyAlignment="1">
      <alignment horizontal="center" vertical="center" wrapText="1"/>
    </xf>
    <xf numFmtId="0" fontId="15" fillId="38" borderId="12" xfId="0" applyFont="1" applyFill="1" applyBorder="1" applyAlignment="1">
      <alignment horizontal="center" vertical="center" wrapText="1"/>
    </xf>
    <xf numFmtId="0" fontId="15" fillId="38" borderId="11" xfId="0" applyFont="1" applyFill="1" applyBorder="1" applyAlignment="1">
      <alignment horizontal="center" vertical="center" wrapText="1"/>
    </xf>
    <xf numFmtId="0" fontId="59" fillId="34" borderId="12" xfId="0" applyNumberFormat="1" applyFont="1" applyFill="1" applyBorder="1" applyAlignment="1">
      <alignment horizontal="center" vertical="center"/>
    </xf>
    <xf numFmtId="0" fontId="59" fillId="34" borderId="11" xfId="0" applyNumberFormat="1" applyFont="1" applyFill="1" applyBorder="1" applyAlignment="1">
      <alignment horizontal="center" vertical="center"/>
    </xf>
    <xf numFmtId="0" fontId="11" fillId="34" borderId="12" xfId="0" applyNumberFormat="1" applyFont="1" applyFill="1" applyBorder="1" applyAlignment="1">
      <alignment horizontal="center" vertical="center"/>
    </xf>
    <xf numFmtId="0" fontId="11" fillId="34" borderId="11" xfId="0" applyNumberFormat="1" applyFont="1" applyFill="1" applyBorder="1" applyAlignment="1">
      <alignment horizontal="center" vertical="center"/>
    </xf>
    <xf numFmtId="0" fontId="15" fillId="38" borderId="21" xfId="0" applyFont="1" applyFill="1" applyBorder="1" applyAlignment="1">
      <alignment horizontal="center" vertical="center" wrapText="1"/>
    </xf>
    <xf numFmtId="0" fontId="15" fillId="38" borderId="20" xfId="0" applyFont="1" applyFill="1" applyBorder="1" applyAlignment="1">
      <alignment horizontal="center" vertical="center" wrapText="1"/>
    </xf>
    <xf numFmtId="0" fontId="15" fillId="38" borderId="14" xfId="0" applyFont="1" applyFill="1" applyBorder="1" applyAlignment="1">
      <alignment horizontal="center" vertical="center" wrapText="1"/>
    </xf>
    <xf numFmtId="0" fontId="15" fillId="38" borderId="15" xfId="0" applyFont="1" applyFill="1" applyBorder="1" applyAlignment="1">
      <alignment horizontal="center" vertical="center" wrapText="1"/>
    </xf>
    <xf numFmtId="0" fontId="15" fillId="38" borderId="14" xfId="0" applyFont="1" applyFill="1" applyBorder="1" applyAlignment="1">
      <alignment horizontal="center" vertical="center"/>
    </xf>
    <xf numFmtId="0" fontId="15" fillId="38" borderId="22" xfId="0" applyFont="1" applyFill="1" applyBorder="1" applyAlignment="1">
      <alignment horizontal="center" vertical="center"/>
    </xf>
    <xf numFmtId="0" fontId="15" fillId="38" borderId="15" xfId="0" applyFont="1" applyFill="1" applyBorder="1" applyAlignment="1">
      <alignment horizontal="center" vertical="center"/>
    </xf>
    <xf numFmtId="0" fontId="15" fillId="38" borderId="18" xfId="0" applyFont="1" applyFill="1" applyBorder="1" applyAlignment="1">
      <alignment horizontal="center" vertical="center" wrapText="1"/>
    </xf>
    <xf numFmtId="2" fontId="9" fillId="34" borderId="10" xfId="0" applyNumberFormat="1" applyFont="1" applyFill="1" applyBorder="1" applyAlignment="1">
      <alignment horizontal="center" wrapText="1"/>
    </xf>
    <xf numFmtId="2" fontId="9" fillId="34" borderId="21" xfId="0" applyNumberFormat="1" applyFont="1" applyFill="1" applyBorder="1" applyAlignment="1">
      <alignment horizontal="center" wrapText="1"/>
    </xf>
    <xf numFmtId="2" fontId="9" fillId="34" borderId="13" xfId="0" applyNumberFormat="1" applyFont="1" applyFill="1" applyBorder="1" applyAlignment="1">
      <alignment horizontal="center" wrapText="1"/>
    </xf>
    <xf numFmtId="2" fontId="9" fillId="34" borderId="20" xfId="0" applyNumberFormat="1" applyFont="1" applyFill="1" applyBorder="1" applyAlignment="1">
      <alignment horizontal="center" wrapText="1"/>
    </xf>
    <xf numFmtId="0" fontId="15" fillId="34" borderId="14" xfId="0" applyFont="1" applyFill="1" applyBorder="1" applyAlignment="1">
      <alignment horizontal="center" wrapText="1"/>
    </xf>
    <xf numFmtId="0" fontId="15" fillId="34" borderId="15" xfId="0" applyFont="1" applyFill="1" applyBorder="1" applyAlignment="1">
      <alignment horizontal="center" wrapText="1"/>
    </xf>
    <xf numFmtId="0" fontId="15" fillId="34" borderId="18" xfId="0" applyFont="1" applyFill="1" applyBorder="1" applyAlignment="1">
      <alignment horizontal="center" wrapText="1"/>
    </xf>
    <xf numFmtId="0" fontId="15" fillId="34" borderId="19" xfId="0" applyFont="1" applyFill="1" applyBorder="1" applyAlignment="1">
      <alignment horizontal="center" wrapText="1"/>
    </xf>
    <xf numFmtId="0" fontId="15" fillId="34" borderId="14" xfId="0" applyFont="1" applyFill="1" applyBorder="1" applyAlignment="1">
      <alignment horizontal="right" vertical="top" wrapText="1"/>
    </xf>
    <xf numFmtId="0" fontId="15" fillId="34" borderId="15" xfId="0" applyFont="1" applyFill="1" applyBorder="1" applyAlignment="1">
      <alignment horizontal="right" vertical="top" wrapText="1"/>
    </xf>
    <xf numFmtId="0" fontId="15" fillId="34" borderId="18" xfId="0" applyFont="1" applyFill="1" applyBorder="1" applyAlignment="1">
      <alignment horizontal="right" vertical="top" wrapText="1"/>
    </xf>
    <xf numFmtId="0" fontId="15" fillId="34" borderId="19" xfId="0" applyFont="1" applyFill="1" applyBorder="1" applyAlignment="1">
      <alignment horizontal="right" vertical="top" wrapText="1"/>
    </xf>
    <xf numFmtId="0" fontId="0" fillId="34" borderId="21" xfId="0" applyFont="1" applyFill="1" applyBorder="1" applyAlignment="1">
      <alignment horizontal="center" wrapText="1"/>
    </xf>
    <xf numFmtId="0" fontId="0" fillId="34" borderId="20" xfId="0" applyFont="1" applyFill="1" applyBorder="1" applyAlignment="1">
      <alignment horizontal="center" wrapText="1"/>
    </xf>
    <xf numFmtId="2" fontId="9" fillId="34" borderId="12" xfId="0" applyNumberFormat="1" applyFont="1" applyFill="1" applyBorder="1" applyAlignment="1">
      <alignment horizontal="center" wrapText="1"/>
    </xf>
    <xf numFmtId="172" fontId="10" fillId="0" borderId="21" xfId="0" applyNumberFormat="1" applyFont="1" applyFill="1" applyBorder="1" applyAlignment="1">
      <alignment horizontal="center" wrapText="1"/>
    </xf>
    <xf numFmtId="172" fontId="10" fillId="0" borderId="13" xfId="0" applyNumberFormat="1" applyFont="1" applyFill="1" applyBorder="1" applyAlignment="1">
      <alignment horizontal="center" wrapText="1"/>
    </xf>
    <xf numFmtId="172" fontId="10" fillId="0" borderId="20" xfId="0" applyNumberFormat="1" applyFont="1" applyFill="1" applyBorder="1" applyAlignment="1">
      <alignment horizontal="center" wrapText="1"/>
    </xf>
    <xf numFmtId="0" fontId="0" fillId="34" borderId="10" xfId="0" applyFont="1" applyFill="1" applyBorder="1" applyAlignment="1">
      <alignment horizontal="center"/>
    </xf>
    <xf numFmtId="0" fontId="2" fillId="34" borderId="10" xfId="0" applyFont="1" applyFill="1" applyBorder="1" applyAlignment="1">
      <alignment horizontal="center"/>
    </xf>
    <xf numFmtId="0" fontId="9" fillId="34" borderId="10" xfId="0" applyFont="1" applyFill="1" applyBorder="1" applyAlignment="1">
      <alignment horizontal="center" wrapText="1"/>
    </xf>
    <xf numFmtId="0" fontId="0" fillId="34" borderId="10" xfId="0" applyFill="1" applyBorder="1" applyAlignment="1">
      <alignment horizontal="center" wrapText="1"/>
    </xf>
    <xf numFmtId="2" fontId="9" fillId="34" borderId="15" xfId="0" applyNumberFormat="1" applyFont="1" applyFill="1" applyBorder="1" applyAlignment="1">
      <alignment horizontal="center" wrapText="1"/>
    </xf>
    <xf numFmtId="2" fontId="9" fillId="34" borderId="17" xfId="0" applyNumberFormat="1" applyFont="1" applyFill="1" applyBorder="1" applyAlignment="1">
      <alignment horizontal="center" wrapText="1"/>
    </xf>
    <xf numFmtId="2" fontId="9" fillId="34" borderId="19" xfId="0" applyNumberFormat="1" applyFont="1" applyFill="1" applyBorder="1" applyAlignment="1">
      <alignment horizontal="center" wrapText="1"/>
    </xf>
    <xf numFmtId="0" fontId="0" fillId="34" borderId="24" xfId="0" applyFont="1" applyFill="1" applyBorder="1" applyAlignment="1">
      <alignment horizontal="left"/>
    </xf>
    <xf numFmtId="0" fontId="0" fillId="34" borderId="11" xfId="0" applyFont="1" applyFill="1" applyBorder="1" applyAlignment="1">
      <alignment horizontal="left"/>
    </xf>
    <xf numFmtId="0" fontId="2" fillId="34" borderId="10" xfId="0" applyFont="1" applyFill="1" applyBorder="1" applyAlignment="1">
      <alignment horizont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9" fillId="34" borderId="12" xfId="0" applyFont="1" applyFill="1" applyBorder="1" applyAlignment="1">
      <alignment horizontal="center" vertical="center" wrapText="1"/>
    </xf>
    <xf numFmtId="0" fontId="9" fillId="34" borderId="24" xfId="0" applyFont="1" applyFill="1" applyBorder="1" applyAlignment="1">
      <alignment horizontal="center" vertical="center" wrapText="1"/>
    </xf>
    <xf numFmtId="0" fontId="9" fillId="34" borderId="11"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9" fillId="34" borderId="22"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9" fillId="34" borderId="21" xfId="0" applyFont="1" applyFill="1" applyBorder="1" applyAlignment="1">
      <alignment horizontal="center" vertical="center" wrapText="1"/>
    </xf>
    <xf numFmtId="0" fontId="9" fillId="34" borderId="20" xfId="0" applyFont="1" applyFill="1" applyBorder="1" applyAlignment="1">
      <alignment horizontal="center" vertical="center" wrapText="1"/>
    </xf>
    <xf numFmtId="0" fontId="0" fillId="0" borderId="16" xfId="0" applyFont="1" applyBorder="1" applyAlignment="1">
      <alignment horizontal="left" vertical="center" wrapText="1"/>
    </xf>
    <xf numFmtId="0" fontId="0" fillId="0" borderId="0" xfId="0" applyBorder="1" applyAlignment="1">
      <alignment horizontal="left" vertical="center" wrapText="1"/>
    </xf>
    <xf numFmtId="0" fontId="0" fillId="0" borderId="17" xfId="0" applyBorder="1" applyAlignment="1">
      <alignment horizontal="left" vertical="center" wrapText="1"/>
    </xf>
    <xf numFmtId="0" fontId="0" fillId="0" borderId="0" xfId="0" applyFont="1" applyBorder="1" applyAlignment="1">
      <alignment horizontal="left" vertical="center" wrapText="1"/>
    </xf>
    <xf numFmtId="0" fontId="0" fillId="0" borderId="17" xfId="0" applyFont="1" applyBorder="1" applyAlignment="1">
      <alignment horizontal="left" vertical="center" wrapText="1"/>
    </xf>
    <xf numFmtId="0" fontId="0" fillId="0" borderId="16" xfId="0" applyBorder="1" applyAlignment="1">
      <alignment horizontal="left" vertical="center" wrapText="1"/>
    </xf>
    <xf numFmtId="0" fontId="9" fillId="34" borderId="14" xfId="0" applyFont="1" applyFill="1" applyBorder="1" applyAlignment="1">
      <alignment horizontal="center" wrapText="1"/>
    </xf>
    <xf numFmtId="0" fontId="9" fillId="34" borderId="18" xfId="0" applyFont="1" applyFill="1" applyBorder="1" applyAlignment="1">
      <alignment horizontal="center" wrapText="1"/>
    </xf>
    <xf numFmtId="0" fontId="9" fillId="34" borderId="21" xfId="0" applyFont="1" applyFill="1" applyBorder="1" applyAlignment="1">
      <alignment horizontal="center" wrapText="1"/>
    </xf>
    <xf numFmtId="0" fontId="9" fillId="34" borderId="13" xfId="0" applyFont="1" applyFill="1" applyBorder="1" applyAlignment="1">
      <alignment horizontal="center" wrapText="1"/>
    </xf>
    <xf numFmtId="0" fontId="0" fillId="0" borderId="16"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7" xfId="0" applyFont="1" applyFill="1" applyBorder="1" applyAlignment="1">
      <alignment horizontal="left" vertical="center" wrapText="1"/>
    </xf>
    <xf numFmtId="172" fontId="10" fillId="0" borderId="15" xfId="0" applyNumberFormat="1" applyFont="1" applyFill="1" applyBorder="1" applyAlignment="1">
      <alignment horizontal="center" wrapText="1"/>
    </xf>
    <xf numFmtId="0" fontId="9" fillId="34" borderId="12" xfId="0" applyFont="1" applyFill="1" applyBorder="1" applyAlignment="1">
      <alignment horizontal="center" wrapText="1"/>
    </xf>
    <xf numFmtId="0" fontId="9" fillId="34" borderId="11" xfId="0" applyFont="1" applyFill="1" applyBorder="1" applyAlignment="1">
      <alignment horizontal="center" wrapText="1"/>
    </xf>
    <xf numFmtId="0" fontId="9" fillId="34" borderId="20" xfId="0" applyFont="1" applyFill="1" applyBorder="1" applyAlignment="1">
      <alignment horizontal="center" wrapText="1"/>
    </xf>
    <xf numFmtId="0" fontId="18" fillId="38" borderId="0" xfId="0" applyFont="1" applyFill="1" applyAlignment="1">
      <alignment horizontal="center" vertical="top" wrapText="1"/>
    </xf>
    <xf numFmtId="2" fontId="9" fillId="33" borderId="21" xfId="0" applyNumberFormat="1" applyFont="1" applyFill="1" applyBorder="1" applyAlignment="1">
      <alignment horizontal="center" wrapText="1"/>
    </xf>
    <xf numFmtId="2" fontId="9" fillId="33" borderId="13" xfId="0" applyNumberFormat="1" applyFont="1" applyFill="1" applyBorder="1" applyAlignment="1">
      <alignment horizontal="center" wrapText="1"/>
    </xf>
    <xf numFmtId="0" fontId="9" fillId="34" borderId="17" xfId="0" applyFont="1" applyFill="1" applyBorder="1" applyAlignment="1">
      <alignment horizontal="center" wrapText="1"/>
    </xf>
    <xf numFmtId="0" fontId="9" fillId="34" borderId="17" xfId="0" applyFont="1" applyFill="1" applyBorder="1" applyAlignment="1">
      <alignment horizontal="center" vertical="center" wrapText="1"/>
    </xf>
    <xf numFmtId="0" fontId="9" fillId="34" borderId="19" xfId="0" applyFont="1" applyFill="1" applyBorder="1" applyAlignment="1">
      <alignment horizontal="center" vertical="center" wrapText="1"/>
    </xf>
    <xf numFmtId="0" fontId="9" fillId="34" borderId="13" xfId="0" applyFont="1" applyFill="1" applyBorder="1" applyAlignment="1">
      <alignment horizontal="center" vertical="center" wrapText="1"/>
    </xf>
    <xf numFmtId="172" fontId="12" fillId="0" borderId="10" xfId="0" applyNumberFormat="1" applyFont="1" applyFill="1" applyBorder="1" applyAlignment="1">
      <alignment horizontal="left"/>
    </xf>
    <xf numFmtId="172" fontId="12" fillId="0" borderId="12" xfId="0" applyNumberFormat="1" applyFont="1" applyFill="1" applyBorder="1" applyAlignment="1">
      <alignment horizontal="left"/>
    </xf>
    <xf numFmtId="172" fontId="12" fillId="0" borderId="24" xfId="0" applyNumberFormat="1" applyFont="1" applyFill="1" applyBorder="1" applyAlignment="1">
      <alignment horizontal="left"/>
    </xf>
    <xf numFmtId="172" fontId="12" fillId="0" borderId="11" xfId="0" applyNumberFormat="1" applyFont="1" applyFill="1" applyBorder="1" applyAlignment="1">
      <alignment horizontal="left"/>
    </xf>
    <xf numFmtId="0" fontId="2" fillId="34" borderId="11" xfId="0" applyFont="1" applyFill="1" applyBorder="1" applyAlignment="1">
      <alignment horizontal="center"/>
    </xf>
    <xf numFmtId="0" fontId="15" fillId="34" borderId="10" xfId="0" applyFont="1" applyFill="1" applyBorder="1" applyAlignment="1">
      <alignment horizontal="right" wrapText="1"/>
    </xf>
    <xf numFmtId="0" fontId="2" fillId="34" borderId="11" xfId="0" applyFont="1" applyFill="1" applyBorder="1" applyAlignment="1">
      <alignment horizontal="center" wrapText="1"/>
    </xf>
    <xf numFmtId="0" fontId="0" fillId="34" borderId="21" xfId="0" applyFont="1" applyFill="1" applyBorder="1" applyAlignment="1">
      <alignment horizontal="right" wrapText="1"/>
    </xf>
    <xf numFmtId="0" fontId="0" fillId="34" borderId="20" xfId="0" applyFont="1" applyFill="1" applyBorder="1" applyAlignment="1">
      <alignment horizontal="righ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57"/>
  <sheetViews>
    <sheetView tabSelected="1" zoomScale="85" zoomScaleNormal="85" zoomScalePageLayoutView="0" workbookViewId="0" topLeftCell="A1">
      <selection activeCell="S3" sqref="S3"/>
    </sheetView>
  </sheetViews>
  <sheetFormatPr defaultColWidth="11.421875" defaultRowHeight="12.75"/>
  <cols>
    <col min="1" max="1" width="2.28125" style="10" customWidth="1"/>
    <col min="2" max="2" width="6.140625" style="10" customWidth="1"/>
    <col min="3" max="3" width="9.421875" style="10" customWidth="1"/>
    <col min="4" max="4" width="10.8515625" style="10" customWidth="1"/>
    <col min="5" max="6" width="11.8515625" style="10" customWidth="1"/>
    <col min="7" max="7" width="10.00390625" style="10" customWidth="1"/>
    <col min="8" max="8" width="9.8515625" style="10" customWidth="1"/>
    <col min="9" max="9" width="9.8515625" style="13" customWidth="1"/>
    <col min="10" max="10" width="8.28125" style="10" customWidth="1"/>
    <col min="11" max="11" width="8.00390625" style="10" customWidth="1"/>
    <col min="12" max="12" width="1.1484375" style="10" customWidth="1"/>
    <col min="13" max="13" width="10.140625" style="10" customWidth="1"/>
    <col min="14" max="14" width="7.28125" style="10" customWidth="1"/>
    <col min="15" max="15" width="7.140625" style="10" customWidth="1"/>
    <col min="16" max="16" width="9.140625" style="10" customWidth="1"/>
    <col min="17" max="17" width="7.8515625" style="10" customWidth="1"/>
    <col min="18" max="18" width="8.421875" style="10" customWidth="1"/>
    <col min="19" max="19" width="10.140625" style="10" customWidth="1"/>
    <col min="20" max="20" width="10.00390625" style="7" customWidth="1"/>
    <col min="21" max="21" width="0.9921875" style="10" customWidth="1"/>
    <col min="22" max="26" width="8.7109375" style="10" customWidth="1"/>
    <col min="27" max="27" width="9.7109375" style="10" customWidth="1"/>
    <col min="28" max="28" width="2.421875" style="7" customWidth="1"/>
    <col min="29" max="29" width="2.8515625" style="10" customWidth="1"/>
    <col min="30" max="31" width="12.00390625" style="184" customWidth="1"/>
    <col min="32" max="32" width="8.00390625" style="11" customWidth="1"/>
    <col min="33" max="33" width="6.7109375" style="11" customWidth="1"/>
    <col min="34" max="34" width="7.57421875" style="11" customWidth="1"/>
    <col min="35" max="35" width="5.421875" style="11" customWidth="1"/>
    <col min="36" max="36" width="6.28125" style="11" customWidth="1"/>
    <col min="37" max="37" width="4.7109375" style="11" customWidth="1"/>
    <col min="38" max="38" width="5.8515625" style="11" customWidth="1"/>
    <col min="39" max="39" width="5.421875" style="11" customWidth="1"/>
    <col min="40" max="40" width="5.421875" style="10" customWidth="1"/>
    <col min="41" max="41" width="6.421875" style="10" customWidth="1"/>
    <col min="42" max="42" width="5.7109375" style="10" customWidth="1"/>
    <col min="43" max="43" width="1.421875" style="10" customWidth="1"/>
    <col min="44" max="44" width="7.28125" style="10" customWidth="1"/>
    <col min="45" max="45" width="7.00390625" style="10" customWidth="1"/>
    <col min="46" max="46" width="6.421875" style="10" customWidth="1"/>
    <col min="47" max="16384" width="11.421875" style="10" customWidth="1"/>
  </cols>
  <sheetData>
    <row r="1" spans="1:32" ht="12.75">
      <c r="A1" s="138"/>
      <c r="B1" s="138"/>
      <c r="C1" s="138"/>
      <c r="D1" s="138"/>
      <c r="E1" s="138"/>
      <c r="F1" s="138"/>
      <c r="G1" s="138"/>
      <c r="H1" s="138"/>
      <c r="I1" s="139"/>
      <c r="J1" s="138"/>
      <c r="K1" s="138"/>
      <c r="L1" s="138"/>
      <c r="M1" s="138"/>
      <c r="N1" s="138"/>
      <c r="O1" s="138"/>
      <c r="P1" s="138"/>
      <c r="Q1" s="138"/>
      <c r="R1" s="138"/>
      <c r="S1" s="138"/>
      <c r="T1" s="138"/>
      <c r="U1" s="138"/>
      <c r="V1" s="138"/>
      <c r="W1" s="138"/>
      <c r="X1" s="138"/>
      <c r="Y1" s="138"/>
      <c r="Z1" s="138"/>
      <c r="AA1" s="138"/>
      <c r="AB1" s="138"/>
      <c r="AC1" s="138"/>
      <c r="AD1" s="10"/>
      <c r="AE1" s="10"/>
      <c r="AF1" s="10"/>
    </row>
    <row r="2" spans="1:29" s="9" customFormat="1" ht="12.75">
      <c r="A2" s="73"/>
      <c r="B2" s="206" t="s">
        <v>64</v>
      </c>
      <c r="C2" s="207"/>
      <c r="D2" s="207"/>
      <c r="E2" s="207"/>
      <c r="F2" s="207"/>
      <c r="G2" s="207"/>
      <c r="H2" s="208"/>
      <c r="I2" s="250" t="s">
        <v>112</v>
      </c>
      <c r="J2" s="207">
        <v>2013</v>
      </c>
      <c r="K2" s="207">
        <v>2012</v>
      </c>
      <c r="L2" s="207"/>
      <c r="M2" s="207" t="s">
        <v>111</v>
      </c>
      <c r="N2" s="209"/>
      <c r="O2" s="73"/>
      <c r="P2" s="73"/>
      <c r="Q2" s="73"/>
      <c r="R2" s="73"/>
      <c r="S2" s="73"/>
      <c r="T2" s="73"/>
      <c r="U2" s="73"/>
      <c r="V2" s="73"/>
      <c r="W2" s="73"/>
      <c r="X2" s="73"/>
      <c r="Y2" s="73"/>
      <c r="Z2" s="73"/>
      <c r="AA2" s="73"/>
      <c r="AB2" s="73"/>
      <c r="AC2" s="73"/>
    </row>
    <row r="3" spans="1:29" s="9" customFormat="1" ht="12.75">
      <c r="A3" s="73"/>
      <c r="B3" s="144" t="s">
        <v>126</v>
      </c>
      <c r="C3" s="8"/>
      <c r="D3" s="8"/>
      <c r="E3" s="8"/>
      <c r="F3" s="8"/>
      <c r="G3" s="8"/>
      <c r="I3" s="8"/>
      <c r="J3" s="8"/>
      <c r="K3" s="8"/>
      <c r="L3" s="8"/>
      <c r="M3" s="8"/>
      <c r="N3" s="210"/>
      <c r="O3" s="73"/>
      <c r="P3" s="73"/>
      <c r="Q3" s="73"/>
      <c r="R3" s="73"/>
      <c r="S3" s="73"/>
      <c r="T3" s="73"/>
      <c r="U3" s="73"/>
      <c r="V3" s="73"/>
      <c r="W3" s="73"/>
      <c r="X3" s="73"/>
      <c r="Y3" s="73"/>
      <c r="Z3" s="73"/>
      <c r="AA3" s="73"/>
      <c r="AB3" s="73"/>
      <c r="AC3" s="73"/>
    </row>
    <row r="4" spans="1:29" s="9" customFormat="1" ht="12.75">
      <c r="A4" s="73"/>
      <c r="B4" s="144" t="s">
        <v>63</v>
      </c>
      <c r="C4" s="8"/>
      <c r="D4" s="8"/>
      <c r="E4" s="8"/>
      <c r="F4" s="8"/>
      <c r="G4" s="8"/>
      <c r="I4" s="8"/>
      <c r="J4" s="8"/>
      <c r="K4" s="8"/>
      <c r="L4" s="8"/>
      <c r="M4" s="8"/>
      <c r="N4" s="210"/>
      <c r="O4" s="73"/>
      <c r="P4" s="73"/>
      <c r="Q4" s="73"/>
      <c r="R4" s="73"/>
      <c r="S4" s="73"/>
      <c r="T4" s="73"/>
      <c r="U4" s="73"/>
      <c r="V4" s="73"/>
      <c r="W4" s="73"/>
      <c r="X4" s="73"/>
      <c r="Y4" s="73"/>
      <c r="Z4" s="73"/>
      <c r="AA4" s="73"/>
      <c r="AB4" s="73"/>
      <c r="AC4" s="73"/>
    </row>
    <row r="5" spans="1:39" s="4" customFormat="1" ht="15.75" customHeight="1">
      <c r="A5" s="122"/>
      <c r="B5" s="141" t="s">
        <v>45</v>
      </c>
      <c r="C5" s="5"/>
      <c r="D5" s="5"/>
      <c r="E5" s="5"/>
      <c r="F5" s="5"/>
      <c r="G5" s="5"/>
      <c r="H5" s="5"/>
      <c r="I5" s="5"/>
      <c r="J5" s="5"/>
      <c r="K5" s="5"/>
      <c r="L5" s="5"/>
      <c r="M5" s="5"/>
      <c r="N5" s="211"/>
      <c r="O5" s="123"/>
      <c r="P5" s="123"/>
      <c r="Q5" s="123"/>
      <c r="R5" s="123"/>
      <c r="S5" s="123"/>
      <c r="T5" s="123"/>
      <c r="U5" s="123"/>
      <c r="V5" s="123"/>
      <c r="W5" s="123"/>
      <c r="X5" s="123"/>
      <c r="Y5" s="123"/>
      <c r="Z5" s="123"/>
      <c r="AA5" s="123"/>
      <c r="AB5" s="123"/>
      <c r="AC5" s="123"/>
      <c r="AG5" s="168"/>
      <c r="AH5" s="168"/>
      <c r="AI5" s="168"/>
      <c r="AJ5" s="168"/>
      <c r="AK5" s="168"/>
      <c r="AL5" s="168"/>
      <c r="AM5" s="168"/>
    </row>
    <row r="6" spans="1:39" s="4" customFormat="1" ht="29.25" customHeight="1">
      <c r="A6" s="122"/>
      <c r="B6" s="324" t="s">
        <v>0</v>
      </c>
      <c r="C6" s="327"/>
      <c r="D6" s="327"/>
      <c r="E6" s="327"/>
      <c r="F6" s="327"/>
      <c r="G6" s="327"/>
      <c r="H6" s="327"/>
      <c r="I6" s="327"/>
      <c r="J6" s="327"/>
      <c r="K6" s="327"/>
      <c r="L6" s="327"/>
      <c r="M6" s="327"/>
      <c r="N6" s="328"/>
      <c r="O6" s="123"/>
      <c r="P6" s="266" t="s">
        <v>125</v>
      </c>
      <c r="Q6" s="266"/>
      <c r="R6" s="266"/>
      <c r="S6" s="266"/>
      <c r="T6" s="266"/>
      <c r="U6" s="266"/>
      <c r="V6" s="266"/>
      <c r="W6" s="266"/>
      <c r="X6" s="266"/>
      <c r="Y6" s="266"/>
      <c r="Z6" s="266"/>
      <c r="AA6" s="266"/>
      <c r="AB6" s="123"/>
      <c r="AC6" s="123"/>
      <c r="AG6" s="168"/>
      <c r="AH6" s="168"/>
      <c r="AI6" s="168"/>
      <c r="AJ6" s="168"/>
      <c r="AK6" s="168"/>
      <c r="AL6" s="168"/>
      <c r="AM6" s="168"/>
    </row>
    <row r="7" spans="1:39" s="4" customFormat="1" ht="42.75" customHeight="1">
      <c r="A7" s="122"/>
      <c r="B7" s="324" t="s">
        <v>70</v>
      </c>
      <c r="C7" s="327"/>
      <c r="D7" s="327"/>
      <c r="E7" s="327"/>
      <c r="F7" s="327"/>
      <c r="G7" s="327"/>
      <c r="H7" s="327"/>
      <c r="I7" s="327"/>
      <c r="J7" s="327"/>
      <c r="K7" s="327"/>
      <c r="L7" s="327"/>
      <c r="M7" s="327"/>
      <c r="N7" s="328"/>
      <c r="O7" s="123"/>
      <c r="P7" s="266"/>
      <c r="Q7" s="266"/>
      <c r="R7" s="266"/>
      <c r="S7" s="266"/>
      <c r="T7" s="266"/>
      <c r="U7" s="266"/>
      <c r="V7" s="266"/>
      <c r="W7" s="266"/>
      <c r="X7" s="266"/>
      <c r="Y7" s="266"/>
      <c r="Z7" s="266"/>
      <c r="AA7" s="266"/>
      <c r="AB7" s="123"/>
      <c r="AC7" s="123"/>
      <c r="AG7" s="168"/>
      <c r="AH7" s="168"/>
      <c r="AI7" s="168"/>
      <c r="AJ7" s="168"/>
      <c r="AK7" s="168"/>
      <c r="AL7" s="168"/>
      <c r="AM7" s="168"/>
    </row>
    <row r="8" spans="1:39" s="4" customFormat="1" ht="14.25" customHeight="1">
      <c r="A8" s="122"/>
      <c r="B8" s="142" t="s">
        <v>1</v>
      </c>
      <c r="C8" s="5"/>
      <c r="D8" s="5"/>
      <c r="E8" s="5"/>
      <c r="F8" s="5"/>
      <c r="G8" s="5"/>
      <c r="H8" s="5"/>
      <c r="I8" s="5"/>
      <c r="J8" s="5"/>
      <c r="K8" s="5"/>
      <c r="L8" s="5"/>
      <c r="M8" s="5"/>
      <c r="N8" s="211"/>
      <c r="O8" s="123"/>
      <c r="P8" s="266"/>
      <c r="Q8" s="266"/>
      <c r="R8" s="266"/>
      <c r="S8" s="266"/>
      <c r="T8" s="266"/>
      <c r="U8" s="266"/>
      <c r="V8" s="266"/>
      <c r="W8" s="266"/>
      <c r="X8" s="266"/>
      <c r="Y8" s="266"/>
      <c r="Z8" s="266"/>
      <c r="AA8" s="266"/>
      <c r="AB8" s="123"/>
      <c r="AC8" s="123"/>
      <c r="AD8" s="261"/>
      <c r="AG8" s="168"/>
      <c r="AH8" s="168"/>
      <c r="AI8" s="168"/>
      <c r="AJ8" s="168"/>
      <c r="AK8" s="168"/>
      <c r="AL8" s="168"/>
      <c r="AM8" s="168"/>
    </row>
    <row r="9" spans="1:39" s="4" customFormat="1" ht="30" customHeight="1">
      <c r="A9" s="122"/>
      <c r="B9" s="324" t="s">
        <v>72</v>
      </c>
      <c r="C9" s="325"/>
      <c r="D9" s="325"/>
      <c r="E9" s="325"/>
      <c r="F9" s="325"/>
      <c r="G9" s="325"/>
      <c r="H9" s="325"/>
      <c r="I9" s="325"/>
      <c r="J9" s="325"/>
      <c r="K9" s="325"/>
      <c r="L9" s="325"/>
      <c r="M9" s="325"/>
      <c r="N9" s="326"/>
      <c r="O9" s="123"/>
      <c r="P9" s="266"/>
      <c r="Q9" s="266"/>
      <c r="R9" s="266"/>
      <c r="S9" s="266"/>
      <c r="T9" s="266"/>
      <c r="U9" s="266"/>
      <c r="V9" s="266"/>
      <c r="W9" s="266"/>
      <c r="X9" s="266"/>
      <c r="Y9" s="266"/>
      <c r="Z9" s="266"/>
      <c r="AA9" s="266"/>
      <c r="AB9" s="123"/>
      <c r="AC9" s="123"/>
      <c r="AD9" s="261"/>
      <c r="AG9" s="168"/>
      <c r="AH9" s="168"/>
      <c r="AI9" s="168"/>
      <c r="AJ9" s="168"/>
      <c r="AK9" s="168"/>
      <c r="AL9" s="168"/>
      <c r="AM9" s="168"/>
    </row>
    <row r="10" spans="1:39" s="4" customFormat="1" ht="37.5" customHeight="1">
      <c r="A10" s="122"/>
      <c r="B10" s="329" t="s">
        <v>2</v>
      </c>
      <c r="C10" s="325"/>
      <c r="D10" s="325"/>
      <c r="E10" s="325"/>
      <c r="F10" s="325"/>
      <c r="G10" s="325"/>
      <c r="H10" s="325"/>
      <c r="I10" s="325"/>
      <c r="J10" s="325"/>
      <c r="K10" s="325"/>
      <c r="L10" s="325"/>
      <c r="M10" s="325"/>
      <c r="N10" s="326"/>
      <c r="O10" s="123"/>
      <c r="P10" s="266"/>
      <c r="Q10" s="266"/>
      <c r="R10" s="266"/>
      <c r="S10" s="266"/>
      <c r="T10" s="266"/>
      <c r="U10" s="266"/>
      <c r="V10" s="266"/>
      <c r="W10" s="266"/>
      <c r="X10" s="266"/>
      <c r="Y10" s="266"/>
      <c r="Z10" s="266"/>
      <c r="AA10" s="266"/>
      <c r="AB10" s="123"/>
      <c r="AC10" s="123"/>
      <c r="AG10" s="168"/>
      <c r="AH10" s="168"/>
      <c r="AI10" s="168"/>
      <c r="AJ10" s="168"/>
      <c r="AK10" s="168"/>
      <c r="AL10" s="168"/>
      <c r="AM10" s="168"/>
    </row>
    <row r="11" spans="1:29" s="6" customFormat="1" ht="42.75" customHeight="1">
      <c r="A11" s="123"/>
      <c r="B11" s="334" t="s">
        <v>110</v>
      </c>
      <c r="C11" s="335"/>
      <c r="D11" s="335"/>
      <c r="E11" s="335"/>
      <c r="F11" s="335"/>
      <c r="G11" s="335"/>
      <c r="H11" s="335"/>
      <c r="I11" s="335"/>
      <c r="J11" s="335"/>
      <c r="K11" s="335"/>
      <c r="L11" s="335"/>
      <c r="M11" s="335"/>
      <c r="N11" s="336"/>
      <c r="O11" s="123"/>
      <c r="P11" s="266"/>
      <c r="Q11" s="266"/>
      <c r="R11" s="266"/>
      <c r="S11" s="266"/>
      <c r="T11" s="266"/>
      <c r="U11" s="266"/>
      <c r="V11" s="266"/>
      <c r="W11" s="266"/>
      <c r="X11" s="266"/>
      <c r="Y11" s="266"/>
      <c r="Z11" s="266"/>
      <c r="AA11" s="266"/>
      <c r="AB11" s="123"/>
      <c r="AC11" s="123"/>
    </row>
    <row r="12" spans="1:39" s="4" customFormat="1" ht="15.75" customHeight="1">
      <c r="A12" s="122"/>
      <c r="B12" s="142" t="s">
        <v>3</v>
      </c>
      <c r="C12" s="5"/>
      <c r="D12" s="5"/>
      <c r="E12" s="5"/>
      <c r="F12" s="5"/>
      <c r="G12" s="5"/>
      <c r="H12" s="5"/>
      <c r="I12" s="5"/>
      <c r="J12" s="5"/>
      <c r="K12" s="5"/>
      <c r="L12" s="5"/>
      <c r="M12" s="5"/>
      <c r="N12" s="211"/>
      <c r="O12" s="123"/>
      <c r="P12" s="274" t="s">
        <v>113</v>
      </c>
      <c r="Q12" s="276" t="s">
        <v>10</v>
      </c>
      <c r="R12" s="277"/>
      <c r="S12" s="278" t="s">
        <v>114</v>
      </c>
      <c r="T12" s="279"/>
      <c r="U12" s="279"/>
      <c r="V12" s="279"/>
      <c r="W12" s="280"/>
      <c r="X12" s="274" t="s">
        <v>115</v>
      </c>
      <c r="Y12" s="274" t="s">
        <v>116</v>
      </c>
      <c r="Z12" s="274" t="s">
        <v>117</v>
      </c>
      <c r="AA12" s="267" t="s">
        <v>118</v>
      </c>
      <c r="AB12" s="123"/>
      <c r="AC12" s="123"/>
      <c r="AG12" s="168"/>
      <c r="AH12" s="168"/>
      <c r="AI12" s="168"/>
      <c r="AJ12" s="168"/>
      <c r="AK12" s="168"/>
      <c r="AL12" s="168"/>
      <c r="AM12" s="168"/>
    </row>
    <row r="13" spans="1:39" s="4" customFormat="1" ht="15.75" customHeight="1">
      <c r="A13" s="122"/>
      <c r="B13" s="142" t="s">
        <v>71</v>
      </c>
      <c r="C13" s="5"/>
      <c r="D13" s="5"/>
      <c r="E13" s="5"/>
      <c r="F13" s="5"/>
      <c r="G13" s="5"/>
      <c r="H13" s="5"/>
      <c r="I13" s="5"/>
      <c r="J13" s="5"/>
      <c r="K13" s="5"/>
      <c r="L13" s="5"/>
      <c r="M13" s="5"/>
      <c r="N13" s="211"/>
      <c r="O13" s="123"/>
      <c r="P13" s="275"/>
      <c r="Q13" s="254" t="s">
        <v>119</v>
      </c>
      <c r="R13" s="254" t="s">
        <v>120</v>
      </c>
      <c r="S13" s="255" t="s">
        <v>121</v>
      </c>
      <c r="T13" s="254" t="s">
        <v>122</v>
      </c>
      <c r="U13" s="268" t="s">
        <v>123</v>
      </c>
      <c r="V13" s="269"/>
      <c r="W13" s="256" t="s">
        <v>124</v>
      </c>
      <c r="X13" s="275"/>
      <c r="Y13" s="281"/>
      <c r="Z13" s="275"/>
      <c r="AA13" s="267"/>
      <c r="AB13" s="123"/>
      <c r="AC13" s="123"/>
      <c r="AG13" s="168"/>
      <c r="AH13" s="168"/>
      <c r="AI13" s="168"/>
      <c r="AJ13" s="168"/>
      <c r="AK13" s="168"/>
      <c r="AL13" s="168"/>
      <c r="AM13" s="168"/>
    </row>
    <row r="14" spans="1:39" s="4" customFormat="1" ht="16.5" customHeight="1">
      <c r="A14" s="122"/>
      <c r="B14" s="212" t="s">
        <v>108</v>
      </c>
      <c r="C14" s="143"/>
      <c r="D14" s="143"/>
      <c r="E14" s="143"/>
      <c r="F14" s="143"/>
      <c r="G14" s="143"/>
      <c r="H14" s="143"/>
      <c r="I14" s="143"/>
      <c r="J14" s="143"/>
      <c r="K14" s="143"/>
      <c r="L14" s="143"/>
      <c r="M14" s="143"/>
      <c r="N14" s="213"/>
      <c r="O14" s="122"/>
      <c r="P14" s="251">
        <v>1.5</v>
      </c>
      <c r="Q14" s="251">
        <v>10</v>
      </c>
      <c r="R14" s="251"/>
      <c r="S14" s="252">
        <v>0.54</v>
      </c>
      <c r="T14" s="253"/>
      <c r="U14" s="270"/>
      <c r="V14" s="271"/>
      <c r="W14" s="251"/>
      <c r="X14" s="251"/>
      <c r="Y14" s="258">
        <f>IF(Q14*R14=0,Q14+R14-1,Q14+R14-2)</f>
        <v>9</v>
      </c>
      <c r="Z14" s="259">
        <f>IF(ISNUMBER(S14),ABS(P14)/TINV(S14,Y14),IF(ISNUMBER(W14),W14,ABS(U14-T14)/2)/TINV(1-X14/100,Y14))</f>
        <v>2.354861340140023</v>
      </c>
      <c r="AA14" s="257">
        <f>Z14*IF(Q14*R14=0,SQRT(Q14+R14),SQRT(Q14*R14/(Q14+R14)))/SQRT(2)</f>
        <v>5.265630034139345</v>
      </c>
      <c r="AB14" s="122"/>
      <c r="AC14" s="122"/>
      <c r="AG14" s="168"/>
      <c r="AH14" s="168"/>
      <c r="AI14" s="168"/>
      <c r="AJ14" s="168"/>
      <c r="AK14" s="168"/>
      <c r="AL14" s="168"/>
      <c r="AM14" s="168"/>
    </row>
    <row r="15" spans="1:39" s="4" customFormat="1" ht="12.75">
      <c r="A15" s="122"/>
      <c r="B15" s="95"/>
      <c r="C15" s="122"/>
      <c r="D15" s="122"/>
      <c r="E15" s="122"/>
      <c r="F15" s="122"/>
      <c r="G15" s="145"/>
      <c r="H15" s="146"/>
      <c r="I15" s="127"/>
      <c r="J15" s="122"/>
      <c r="K15" s="122"/>
      <c r="L15" s="122"/>
      <c r="M15" s="122"/>
      <c r="N15" s="122"/>
      <c r="O15" s="122"/>
      <c r="P15" s="251">
        <v>-4.9</v>
      </c>
      <c r="Q15" s="251"/>
      <c r="R15" s="251">
        <v>12</v>
      </c>
      <c r="S15" s="252"/>
      <c r="T15" s="253">
        <v>-3.1</v>
      </c>
      <c r="U15" s="272">
        <v>-7.7</v>
      </c>
      <c r="V15" s="273"/>
      <c r="W15" s="251"/>
      <c r="X15" s="251">
        <v>95</v>
      </c>
      <c r="Y15" s="258">
        <f>IF(Q15*R15=0,Q15+R15-1,Q15+R15-2)</f>
        <v>11</v>
      </c>
      <c r="Z15" s="259">
        <f>IF(ISNUMBER(S15),ABS(P15)/TINV(S15,Y15),IF(ISNUMBER(W15),W15,ABS(U15-T15)/2)/TINV(1-X15/100,Y15))</f>
        <v>1.0449866004113535</v>
      </c>
      <c r="AA15" s="257">
        <f>Z15*IF(Q15*R15=0,SQRT(Q15+R15),SQRT(Q15*R15/(Q15+R15)))/SQRT(2)</f>
        <v>2.5596839590534737</v>
      </c>
      <c r="AB15" s="122"/>
      <c r="AC15" s="122"/>
      <c r="AD15" s="186"/>
      <c r="AE15" s="187"/>
      <c r="AF15" s="169"/>
      <c r="AG15" s="168"/>
      <c r="AH15" s="168"/>
      <c r="AI15" s="168"/>
      <c r="AJ15" s="168"/>
      <c r="AK15" s="168"/>
      <c r="AL15" s="168"/>
      <c r="AM15" s="168"/>
    </row>
    <row r="16" spans="1:39" s="4" customFormat="1" ht="12.75">
      <c r="A16" s="122"/>
      <c r="B16" s="122"/>
      <c r="C16" s="341" t="s">
        <v>66</v>
      </c>
      <c r="D16" s="341"/>
      <c r="E16" s="341"/>
      <c r="F16" s="122"/>
      <c r="G16" s="286" t="s">
        <v>44</v>
      </c>
      <c r="H16" s="287"/>
      <c r="I16" s="129"/>
      <c r="J16" s="122"/>
      <c r="K16" s="122"/>
      <c r="L16" s="122"/>
      <c r="M16" s="122"/>
      <c r="N16" s="122"/>
      <c r="O16" s="122"/>
      <c r="P16" s="251">
        <v>176</v>
      </c>
      <c r="Q16" s="251">
        <v>21</v>
      </c>
      <c r="R16" s="251">
        <v>24</v>
      </c>
      <c r="S16" s="252"/>
      <c r="T16" s="253"/>
      <c r="U16" s="270"/>
      <c r="V16" s="271"/>
      <c r="W16" s="251">
        <v>189</v>
      </c>
      <c r="X16" s="251">
        <v>90</v>
      </c>
      <c r="Y16" s="258">
        <f>IF(Q16*R16=0,Q16+R16-1,Q16+R16-2)</f>
        <v>43</v>
      </c>
      <c r="Z16" s="259">
        <f>IF(ISNUMBER(S16),ABS(P16)/TINV(S16,Y16),IF(ISNUMBER(W16),W16,ABS(U16-T16)/2)/TINV(1-X16/100,Y16))</f>
        <v>112.42834679109333</v>
      </c>
      <c r="AA16" s="257">
        <f>Z16*IF(Q16*R16=0,SQRT(Q16+R16),SQRT(Q16*R16/(Q16+R16)))/SQRT(2)</f>
        <v>266.0540277992399</v>
      </c>
      <c r="AB16" s="123"/>
      <c r="AC16" s="123"/>
      <c r="AD16" s="188"/>
      <c r="AE16" s="189"/>
      <c r="AF16" s="169"/>
      <c r="AG16" s="168"/>
      <c r="AH16" s="168"/>
      <c r="AI16" s="168"/>
      <c r="AJ16" s="168"/>
      <c r="AK16" s="168"/>
      <c r="AL16" s="168"/>
      <c r="AM16" s="168"/>
    </row>
    <row r="17" spans="1:39" s="4" customFormat="1" ht="12.75" customHeight="1">
      <c r="A17" s="122"/>
      <c r="B17" s="126"/>
      <c r="C17" s="341"/>
      <c r="D17" s="341"/>
      <c r="E17" s="341"/>
      <c r="F17" s="122"/>
      <c r="G17" s="288"/>
      <c r="H17" s="289"/>
      <c r="I17" s="129"/>
      <c r="J17" s="122"/>
      <c r="K17" s="122"/>
      <c r="L17" s="122"/>
      <c r="M17" s="122"/>
      <c r="N17" s="122"/>
      <c r="O17" s="260" t="s">
        <v>127</v>
      </c>
      <c r="P17" s="251"/>
      <c r="Q17" s="251"/>
      <c r="R17" s="251"/>
      <c r="S17" s="252"/>
      <c r="T17" s="253"/>
      <c r="U17" s="270"/>
      <c r="V17" s="271"/>
      <c r="W17" s="251"/>
      <c r="X17" s="251"/>
      <c r="Y17" s="258">
        <f>IF(Q17*R17=0,Q17+R17-1,Q17+R17-2)</f>
        <v>-1</v>
      </c>
      <c r="Z17" s="259" t="e">
        <f>IF(ISNUMBER(S17),ABS(P17)/TINV(S17,Y17),IF(ISNUMBER(W17),W17,ABS(U17-T17)/2)/TINV(1-X17/100,Y17))</f>
        <v>#NUM!</v>
      </c>
      <c r="AA17" s="257" t="e">
        <f>Z17*IF(Q17*R17=0,SQRT(Q17+R17),SQRT(Q17*R17/(Q17+R17)))/SQRT(2)</f>
        <v>#NUM!</v>
      </c>
      <c r="AB17" s="123"/>
      <c r="AC17" s="123"/>
      <c r="AD17" s="188"/>
      <c r="AE17" s="189"/>
      <c r="AF17" s="168"/>
      <c r="AG17" s="168"/>
      <c r="AH17" s="168"/>
      <c r="AI17" s="168"/>
      <c r="AJ17" s="168"/>
      <c r="AK17" s="168"/>
      <c r="AL17" s="168"/>
      <c r="AM17" s="168"/>
    </row>
    <row r="18" spans="1:39" s="4" customFormat="1" ht="12.75">
      <c r="A18" s="122"/>
      <c r="B18" s="126"/>
      <c r="C18" s="341"/>
      <c r="D18" s="341"/>
      <c r="E18" s="341"/>
      <c r="F18" s="122"/>
      <c r="G18" s="74" t="s">
        <v>12</v>
      </c>
      <c r="H18" s="62" t="s">
        <v>13</v>
      </c>
      <c r="I18" s="129"/>
      <c r="J18" s="122"/>
      <c r="K18" s="122"/>
      <c r="L18" s="122"/>
      <c r="M18" s="122"/>
      <c r="N18" s="122"/>
      <c r="O18" s="122"/>
      <c r="P18" s="122"/>
      <c r="Q18" s="122"/>
      <c r="R18" s="122"/>
      <c r="S18" s="122"/>
      <c r="T18" s="123"/>
      <c r="U18" s="122"/>
      <c r="V18" s="122"/>
      <c r="W18" s="163"/>
      <c r="X18" s="122"/>
      <c r="Y18" s="122"/>
      <c r="Z18" s="122"/>
      <c r="AA18" s="122"/>
      <c r="AB18" s="123"/>
      <c r="AC18" s="123"/>
      <c r="AD18" s="188"/>
      <c r="AE18" s="189"/>
      <c r="AF18" s="168"/>
      <c r="AG18" s="168"/>
      <c r="AH18" s="168"/>
      <c r="AI18" s="168"/>
      <c r="AJ18" s="168"/>
      <c r="AK18" s="168"/>
      <c r="AL18" s="168"/>
      <c r="AM18" s="168"/>
    </row>
    <row r="19" spans="1:39" s="7" customFormat="1" ht="13.5" customHeight="1">
      <c r="A19" s="73"/>
      <c r="B19" s="73"/>
      <c r="C19" s="341"/>
      <c r="D19" s="341"/>
      <c r="E19" s="341"/>
      <c r="F19" s="128"/>
      <c r="G19" s="132">
        <v>0.5</v>
      </c>
      <c r="H19" s="132">
        <v>25</v>
      </c>
      <c r="I19" s="127"/>
      <c r="J19" s="122"/>
      <c r="K19" s="131"/>
      <c r="L19" s="131"/>
      <c r="M19" s="131"/>
      <c r="N19" s="135">
        <v>90</v>
      </c>
      <c r="O19" s="307" t="s">
        <v>11</v>
      </c>
      <c r="P19" s="308"/>
      <c r="Q19" s="131"/>
      <c r="R19" s="73"/>
      <c r="S19" s="73"/>
      <c r="T19" s="73"/>
      <c r="U19" s="160"/>
      <c r="V19" s="160"/>
      <c r="W19" s="159"/>
      <c r="X19" s="159"/>
      <c r="Y19" s="159"/>
      <c r="Z19" s="159"/>
      <c r="AA19" s="159"/>
      <c r="AB19" s="73"/>
      <c r="AC19" s="73"/>
      <c r="AD19" s="190"/>
      <c r="AE19" s="186"/>
      <c r="AF19" s="170"/>
      <c r="AG19" s="12"/>
      <c r="AH19" s="9"/>
      <c r="AI19" s="9"/>
      <c r="AJ19" s="9"/>
      <c r="AK19" s="9"/>
      <c r="AL19" s="9"/>
      <c r="AM19" s="9"/>
    </row>
    <row r="20" spans="1:39" s="7" customFormat="1" ht="23.25" customHeight="1">
      <c r="A20" s="73"/>
      <c r="B20" s="73"/>
      <c r="C20" s="127"/>
      <c r="D20" s="127"/>
      <c r="E20" s="73"/>
      <c r="F20" s="128"/>
      <c r="G20" s="23" t="str">
        <f>IF(G19&lt;=0.1,"negligible",IF(G19&lt;=0.5,"most unlikely",IF(G19&lt;=5,"very unlikely",IF(G19&lt;=25,"unlikely",IF(G19&lt;=50,"possible","not computed")))))</f>
        <v>most unlikely</v>
      </c>
      <c r="H20" s="23" t="str">
        <f>IF(H19&lt;0.505,"most unlikely",IF(H19&lt;5.01,"very unlikely",IF(H19&lt;25.1,"unlikely",IF(H19&lt;75,"possible",IF(H19&lt;95,"likely",IF(H19&lt;99.5,"very likely","most likely"))))))</f>
        <v>unlikely</v>
      </c>
      <c r="I20" s="167"/>
      <c r="J20" s="131"/>
      <c r="K20" s="131"/>
      <c r="L20" s="131"/>
      <c r="M20" s="131"/>
      <c r="N20" s="133"/>
      <c r="O20" s="134"/>
      <c r="P20" s="134"/>
      <c r="Q20" s="131"/>
      <c r="R20" s="73"/>
      <c r="S20" s="73"/>
      <c r="T20" s="73"/>
      <c r="U20" s="128"/>
      <c r="V20" s="262"/>
      <c r="W20" s="128"/>
      <c r="X20" s="128"/>
      <c r="Y20" s="201"/>
      <c r="Z20" s="128"/>
      <c r="AA20" s="201"/>
      <c r="AB20" s="73"/>
      <c r="AC20" s="73"/>
      <c r="AD20" s="186"/>
      <c r="AE20" s="186"/>
      <c r="AF20" s="171"/>
      <c r="AG20" s="12"/>
      <c r="AH20" s="9"/>
      <c r="AI20" s="9"/>
      <c r="AJ20" s="9"/>
      <c r="AK20" s="9"/>
      <c r="AL20" s="9"/>
      <c r="AM20" s="9"/>
    </row>
    <row r="21" spans="1:37" ht="12.75" customHeight="1">
      <c r="A21" s="138"/>
      <c r="B21" s="14" t="s">
        <v>97</v>
      </c>
      <c r="C21" s="15"/>
      <c r="D21" s="15"/>
      <c r="E21" s="15"/>
      <c r="F21" s="15"/>
      <c r="G21" s="15"/>
      <c r="H21" s="15"/>
      <c r="I21" s="15"/>
      <c r="J21" s="15"/>
      <c r="K21" s="3"/>
      <c r="L21" s="3"/>
      <c r="M21" s="3" t="s">
        <v>43</v>
      </c>
      <c r="N21" s="3"/>
      <c r="O21" s="3"/>
      <c r="P21" s="3"/>
      <c r="Q21" s="3"/>
      <c r="R21" s="3"/>
      <c r="S21" s="3"/>
      <c r="T21" s="3"/>
      <c r="U21" s="16"/>
      <c r="V21" s="16"/>
      <c r="W21" s="15"/>
      <c r="X21" s="16"/>
      <c r="Y21" s="16"/>
      <c r="Z21" s="16"/>
      <c r="AA21" s="16"/>
      <c r="AB21" s="3"/>
      <c r="AC21" s="138"/>
      <c r="AD21" s="191"/>
      <c r="AE21" s="191"/>
      <c r="AF21" s="175"/>
      <c r="AJ21" s="9"/>
      <c r="AK21" s="9"/>
    </row>
    <row r="22" spans="1:33" ht="12.75" customHeight="1">
      <c r="A22" s="138"/>
      <c r="B22" s="14"/>
      <c r="C22" s="15"/>
      <c r="D22" s="15"/>
      <c r="E22" s="15"/>
      <c r="F22" s="15"/>
      <c r="G22" s="15"/>
      <c r="H22" s="15"/>
      <c r="I22" s="16"/>
      <c r="J22" s="15"/>
      <c r="K22" s="15"/>
      <c r="L22" s="3"/>
      <c r="M22" s="3"/>
      <c r="N22" s="3"/>
      <c r="O22" s="3"/>
      <c r="P22" s="3"/>
      <c r="Q22" s="3"/>
      <c r="R22" s="3"/>
      <c r="S22" s="3"/>
      <c r="T22" s="3"/>
      <c r="U22" s="3"/>
      <c r="V22" s="319" t="s">
        <v>67</v>
      </c>
      <c r="W22" s="320"/>
      <c r="X22" s="320"/>
      <c r="Y22" s="320"/>
      <c r="Z22" s="320"/>
      <c r="AA22" s="321"/>
      <c r="AB22" s="1"/>
      <c r="AC22" s="73"/>
      <c r="AD22" s="310" t="s">
        <v>58</v>
      </c>
      <c r="AE22" s="311"/>
      <c r="AF22" s="172"/>
      <c r="AG22" s="9"/>
    </row>
    <row r="23" spans="1:33" ht="12.75" customHeight="1">
      <c r="A23" s="138"/>
      <c r="B23" s="3"/>
      <c r="C23" s="283" t="s">
        <v>4</v>
      </c>
      <c r="D23" s="283" t="s">
        <v>5</v>
      </c>
      <c r="E23" s="282" t="s">
        <v>6</v>
      </c>
      <c r="F23" s="342"/>
      <c r="G23" s="286" t="s">
        <v>44</v>
      </c>
      <c r="H23" s="287"/>
      <c r="I23" s="309" t="s">
        <v>10</v>
      </c>
      <c r="J23" s="15"/>
      <c r="K23" s="3"/>
      <c r="L23" s="3"/>
      <c r="M23" s="330" t="s">
        <v>105</v>
      </c>
      <c r="N23" s="3"/>
      <c r="O23" s="3"/>
      <c r="P23" s="3"/>
      <c r="Q23" s="332" t="s">
        <v>8</v>
      </c>
      <c r="R23" s="332" t="s">
        <v>9</v>
      </c>
      <c r="S23" s="3"/>
      <c r="T23" s="1"/>
      <c r="U23" s="3"/>
      <c r="V23" s="322" t="s">
        <v>61</v>
      </c>
      <c r="W23" s="314" t="s">
        <v>68</v>
      </c>
      <c r="X23" s="315"/>
      <c r="Y23" s="315"/>
      <c r="Z23" s="315"/>
      <c r="AA23" s="316"/>
      <c r="AB23" s="1"/>
      <c r="AC23" s="73"/>
      <c r="AD23" s="312"/>
      <c r="AE23" s="313"/>
      <c r="AF23" s="337" t="s">
        <v>7</v>
      </c>
      <c r="AG23" s="9"/>
    </row>
    <row r="24" spans="1:39" s="7" customFormat="1" ht="12.75" customHeight="1">
      <c r="A24" s="73"/>
      <c r="B24" s="1"/>
      <c r="C24" s="284"/>
      <c r="D24" s="284"/>
      <c r="E24" s="282"/>
      <c r="F24" s="343"/>
      <c r="G24" s="288"/>
      <c r="H24" s="289"/>
      <c r="I24" s="309"/>
      <c r="J24" s="17"/>
      <c r="K24" s="2"/>
      <c r="L24" s="2"/>
      <c r="M24" s="331"/>
      <c r="N24" s="137">
        <f>$N$19</f>
        <v>90</v>
      </c>
      <c r="O24" s="307" t="s">
        <v>11</v>
      </c>
      <c r="P24" s="308"/>
      <c r="Q24" s="344"/>
      <c r="R24" s="333"/>
      <c r="S24" s="338" t="s">
        <v>46</v>
      </c>
      <c r="T24" s="339"/>
      <c r="U24" s="2"/>
      <c r="V24" s="347"/>
      <c r="W24" s="322" t="s">
        <v>54</v>
      </c>
      <c r="X24" s="322" t="s">
        <v>57</v>
      </c>
      <c r="Y24" s="345" t="s">
        <v>62</v>
      </c>
      <c r="Z24" s="345" t="s">
        <v>59</v>
      </c>
      <c r="AA24" s="345" t="s">
        <v>60</v>
      </c>
      <c r="AB24" s="2"/>
      <c r="AC24" s="131"/>
      <c r="AD24" s="317" t="s">
        <v>55</v>
      </c>
      <c r="AE24" s="317" t="s">
        <v>56</v>
      </c>
      <c r="AF24" s="298"/>
      <c r="AG24" s="12"/>
      <c r="AH24" s="9"/>
      <c r="AI24" s="9"/>
      <c r="AJ24" s="9"/>
      <c r="AK24" s="9"/>
      <c r="AL24" s="12"/>
      <c r="AM24" s="9"/>
    </row>
    <row r="25" spans="1:39" s="7" customFormat="1" ht="12.75" customHeight="1">
      <c r="A25" s="73"/>
      <c r="B25" s="1"/>
      <c r="C25" s="285"/>
      <c r="D25" s="285"/>
      <c r="E25" s="282"/>
      <c r="F25" s="343"/>
      <c r="G25" s="74" t="s">
        <v>12</v>
      </c>
      <c r="H25" s="62" t="s">
        <v>13</v>
      </c>
      <c r="I25" s="247"/>
      <c r="J25" s="17"/>
      <c r="K25" s="2"/>
      <c r="L25" s="2"/>
      <c r="M25" s="247"/>
      <c r="N25" s="136" t="s">
        <v>14</v>
      </c>
      <c r="O25" s="124" t="s">
        <v>15</v>
      </c>
      <c r="P25" s="158" t="s">
        <v>16</v>
      </c>
      <c r="Q25" s="340"/>
      <c r="R25" s="340"/>
      <c r="S25" s="29" t="s">
        <v>17</v>
      </c>
      <c r="T25" s="29" t="s">
        <v>18</v>
      </c>
      <c r="U25" s="2"/>
      <c r="V25" s="323"/>
      <c r="W25" s="323"/>
      <c r="X25" s="323"/>
      <c r="Y25" s="346"/>
      <c r="Z25" s="346"/>
      <c r="AA25" s="346"/>
      <c r="AB25" s="2"/>
      <c r="AC25" s="131"/>
      <c r="AD25" s="318"/>
      <c r="AE25" s="318"/>
      <c r="AF25" s="299"/>
      <c r="AG25" s="202" t="s">
        <v>19</v>
      </c>
      <c r="AH25" s="203"/>
      <c r="AI25" s="203"/>
      <c r="AJ25" s="203"/>
      <c r="AK25" s="203"/>
      <c r="AL25" s="203"/>
      <c r="AM25" s="9"/>
    </row>
    <row r="26" spans="1:39" s="7" customFormat="1" ht="13.5" customHeight="1">
      <c r="A26" s="73"/>
      <c r="B26" s="1"/>
      <c r="C26" s="214">
        <v>-1</v>
      </c>
      <c r="D26" s="125">
        <f>-C26</f>
        <v>1</v>
      </c>
      <c r="E26" s="215">
        <v>1</v>
      </c>
      <c r="F26" s="69"/>
      <c r="G26" s="125">
        <f>$G$19</f>
        <v>0.5</v>
      </c>
      <c r="H26" s="125">
        <f>$H$19</f>
        <v>25</v>
      </c>
      <c r="I26" s="25">
        <f>IF(ISBLANK(I25),AF26*((TINV(G26*2/100,IF(AL26-1&lt;4,4,AL26-1))+IF(H26&gt;50,-TINV(2-2*H26/100,IF(AL26-1&lt;4,4,AL26-1)),TINV(2*H26/100,IF(AL26-1&lt;4,4,AL26-1))))/(D26-C26))^2,I25)</f>
        <v>8.864681762929548</v>
      </c>
      <c r="J26" s="18"/>
      <c r="K26" s="18"/>
      <c r="L26" s="18"/>
      <c r="M26" s="20">
        <f>IF(ISBLANK(M25),(D26*TINV(2*G26/100,I26-1)+C26*IF(H26&gt;50,-TINV(2-2*H26/100,I26-1),TINV(2*H26/100,I26-1)))/(TINV(2*G26/100,I26-1)+IF(H26&gt;50,-TINV(2-2*H26/100,I26-1),TINV(2*H26/100,I26-1))),M25)</f>
        <v>0.6622155782849999</v>
      </c>
      <c r="N26" s="28">
        <f>M26-SQRT(AF26/I26)*TINV(1-N24/100,I26-1)</f>
        <v>-0.23768815151716116</v>
      </c>
      <c r="O26" s="28">
        <f>M26+SQRT(AF26/I26)*TINV(1-N24/100,I26-1)</f>
        <v>1.562119308087161</v>
      </c>
      <c r="P26" s="28">
        <f>(O26-N26)/2</f>
        <v>0.899903729802161</v>
      </c>
      <c r="Q26" s="20">
        <f>C26</f>
        <v>-1</v>
      </c>
      <c r="R26" s="20">
        <f>D26</f>
        <v>1</v>
      </c>
      <c r="S26" s="196">
        <f>IF(ISERROR(TDIST(IF(R26&gt;Q26,1,-1)*(M26-Q26)/SQRT(AF26/I26),I26-1,1)),1-TDIST(-IF(R26&gt;Q26,1,-1)*(M26-Q26)/SQRT(AF26/I26),I26-1,1),TDIST(IF(R26&gt;Q26,1,-1)*(M26-Q26)/SQRT(AF26/I26),I26-1,1))*100</f>
        <v>0.4999999999999998</v>
      </c>
      <c r="T26" s="24">
        <f>IF(ISERROR(TDIST(IF(R26&gt;Q26,1,-1)*(R26-M26)/SQRT(AF26/I26),I26-1,1)),1-TDIST(-IF(R26&gt;Q26,1,-1)*(R26-M26)/SQRT(AF26/I26),I26-1,1),TDIST(IF(R26&gt;Q26,1,-1)*(R26-M26)/SQRT(AF26/I26),I26-1,1))*100</f>
        <v>25.000000000000018</v>
      </c>
      <c r="U26" s="18"/>
      <c r="V26" s="24">
        <f>MIN(AD26,AE26)</f>
        <v>10.295960040936663</v>
      </c>
      <c r="W26" s="24">
        <f>IF(ISERROR(100*(1-2*TDIST(TINV(1-N24/100,I26-1)-ABS(C26)/SQRT(AF26/I26),I26-1,1))),0,100*(1-2*TDIST(TINV(1-N24/100,I26-1)-ABS(C26)/SQRT(AF26/I26),I26-1,1)))</f>
        <v>0</v>
      </c>
      <c r="X26" s="24">
        <f>100-W26-Y26</f>
        <v>92.67060152102056</v>
      </c>
      <c r="Y26" s="24">
        <f>100*2*TDIST(IF(TINV(1-N24/100,I26-1)&gt;2*ABS(C26)/SQRT(AF26/I26),TINV(1-N24/100,I26-1)-ABS(C26)/SQRT(AF26/I26),ABS(C26)/SQRT(AF26/I26)),I26-1,1)</f>
        <v>7.32939847897944</v>
      </c>
      <c r="Z26" s="196">
        <f>IF(100*2*TDIST(TINV(1-50/100,I26-1)+ABS(C26)/SQRT(AF26/I26),I26-1,1)&gt;Y26,Y26,100*2*TDIST(TINV(1-50/100,I26-1)+ABS(C26)/SQRT(AF26/I26),I26-1,1))</f>
        <v>2.5904758533693406</v>
      </c>
      <c r="AA26" s="196">
        <f>100*2*TDIST(TINV(1-N24/100,I26-1)+ABS(C26)/SQRT(AF26/I26),I26-1,1)</f>
        <v>0.5190632553008884</v>
      </c>
      <c r="AB26" s="18"/>
      <c r="AC26" s="147"/>
      <c r="AD26" s="192">
        <f>IF(ISERROR(100*TDIST(ABS(D26)/(E26*SQRT(AF26/I26))-IF(H26&gt;50,-TINV(2-2*H26/100,I26-1),TINV(2*H26/100,I26-1)),I26-1,1)),100-100*TDIST(-(ABS(D26)/(E26*SQRT(AF26/I26))-IF(H26&gt;50,-TINV(2-2*H26/100,I26-1),TINV(2*H26/100,I26-1))),I26-1,1),100*TDIST(ABS(D26)/(E26*SQRT(AF26/I26))-IF(H26&gt;50,-TINV(2-2*H26/100,I26-1),TINV(2*H26/100,I26-1)),I26-1,1))</f>
        <v>10.295960040936663</v>
      </c>
      <c r="AE26" s="192">
        <f>IF(ISERROR(100*TDIST(TINV(G26/100*2,I26-1)-ABS(C26)/(E26*SQRT(AF26/I26)),I26-1,1)),100-100*TDIST(-(TINV(G26/100*2,I26-1)-ABS(C26)/(E26*SQRT(AF26/I26))),I26-1,1),100*TDIST(TINV(G26/100*2,I26-1)-ABS(C26)/(E26*SQRT(AF26/I26)),I26-1,1))</f>
        <v>10.295960040936668</v>
      </c>
      <c r="AF26" s="173">
        <f>2*E26^2</f>
        <v>2</v>
      </c>
      <c r="AG26" s="176">
        <f>AF26*((TINV(G26*2/100,10)+IF(H26&gt;50,-TINV(2-2*H26/100,10),TINV(2*H26/100,10)))/(D26-C26))^2</f>
        <v>7.484908339162704</v>
      </c>
      <c r="AH26" s="176">
        <f>AF26*((TINV(G26*2/100,IF(AG26-1&lt;4,4,AG26-1))+IF(H26&gt;50,-TINV(2-2*H26/100,IF(AG26-1&lt;4,4,AG26-1)),TINV(2*H26/100,IF(AG26-1&lt;4,4,AG26-1))))/(D26-C26))^2</f>
        <v>9.79025151393162</v>
      </c>
      <c r="AI26" s="176">
        <f>AF26*((TINV(G26*2/100,IF((AG26+AH26)/2-1&lt;4,4,(AG26+AH26)/2-1))+IF(H26&gt;50,-TINV(2-2*H26/100,IF((AG26+AH26)/2-1&lt;4,4,(AG26+AH26)/2-1)),TINV(2*H26/100,IF((AG26+AH26)/2-1&lt;4,4,(AG26+AH26)/2-1))))/(D26-C26))^2</f>
        <v>8.864681762929548</v>
      </c>
      <c r="AJ26" s="176">
        <f>AF26*((TINV(G26*2/100,IF((AH26+AI26)/2-1&lt;4,4,(AH26+AI26)/2-1))+IF(H26&gt;50,-TINV(2-2*H26/100,IF((AH26+AI26)/2-1&lt;4,4,(AH26+AI26)/2-1)),TINV(2*H26/100,IF((AH26+AI26)/2-1&lt;4,4,(AH26+AI26)/2-1))))/(D26-C26))^2</f>
        <v>8.249003785990245</v>
      </c>
      <c r="AK26" s="176">
        <f>AF26*((TINV(G26*2/100,IF((AI26+AJ26)/2-1&lt;4,4,(AI26+AJ26)/2-1))+IF(H26&gt;50,-TINV(2-2*H26/100,IF((AI26+AJ26)/2-1&lt;4,4,(AI26+AJ26)/2-1)),TINV(2*H26/100,IF((AI26+AJ26)/2-1&lt;4,4,(AI26+AJ26)/2-1))))/(D26-C26))^2</f>
        <v>8.864681762929548</v>
      </c>
      <c r="AL26" s="176">
        <f>AF26*((TINV(G26*2/100,IF((AJ26+AK26)/2-1&lt;4,4,(AJ26+AK26)/2-1))+IF(H26&gt;50,-TINV(2-2*H26/100,IF((AJ26+AK26)/2-1&lt;4,4,(AJ26+AK26)/2-1)),TINV(2*H26/100,IF((AJ26+AK26)/2-1&lt;4,4,(AJ26+AK26)/2-1))))/(D26-C26))^2</f>
        <v>8.864681762929548</v>
      </c>
      <c r="AM26" s="9"/>
    </row>
    <row r="27" spans="1:39" s="7" customFormat="1" ht="12.75" customHeight="1">
      <c r="A27" s="73"/>
      <c r="B27" s="1"/>
      <c r="C27" s="19"/>
      <c r="D27" s="19"/>
      <c r="E27" s="19"/>
      <c r="F27" s="1"/>
      <c r="G27" s="23" t="str">
        <f>IF(G26&lt;=0.1,"negligible",IF(G26&lt;=0.5,"most unlikely",IF(G26&lt;=5,"very unlikely",IF(G26&lt;=25,"unlikely",IF(G26&lt;=50,"possible","not computed")))))</f>
        <v>most unlikely</v>
      </c>
      <c r="H27" s="23" t="str">
        <f>IF(H26&lt;0.505,"most unlikely",IF(H26&lt;5.01,"very unlikely",IF(H26&lt;25.1,"unlikely",IF(H26&lt;75,"possible",IF(H26&lt;95,"likely",IF(H26&lt;99.5,"very likely","most likely"))))))</f>
        <v>unlikely</v>
      </c>
      <c r="I27" s="1"/>
      <c r="J27" s="2"/>
      <c r="K27" s="2"/>
      <c r="L27" s="2"/>
      <c r="M27" s="1"/>
      <c r="N27" s="2"/>
      <c r="O27" s="2"/>
      <c r="P27" s="2"/>
      <c r="Q27" s="2"/>
      <c r="R27" s="2"/>
      <c r="S27" s="23" t="str">
        <f>IF(S26&lt;0.505,"most unlikely",IF(S26&lt;5.01,"very unlikely",IF(S26&lt;25.01,"unlikely",IF(S26&lt;74.99,"possible",IF(S26&lt;94.99,"likely",IF(S26&lt;99.49,"very likely","most likely"))))))</f>
        <v>most unlikely</v>
      </c>
      <c r="T27" s="23" t="str">
        <f>IF(T26&lt;0.505,"most unlikely",IF(T26&lt;5.01,"very unlikely",IF(T26&lt;24.99,"unlikely",IF(T26&lt;74.99,"possible",IF(T26&lt;94.99,"likely",IF(T26&lt;99.49,"very likely","most likely"))))))</f>
        <v>possible</v>
      </c>
      <c r="U27" s="2"/>
      <c r="V27" s="164" t="str">
        <f aca="true" t="shared" si="0" ref="V27:AA27">IF(V26&lt;0.5,"most unlikely",IF(V26&lt;5,"very unlikely",IF(V26&lt;25,"unlikely",IF(V26&lt;75,"possible",IF(V26&lt;95,"likely",IF(V26&lt;99.5,"very likely","most likely"))))))</f>
        <v>unlikely</v>
      </c>
      <c r="W27" s="164" t="str">
        <f t="shared" si="0"/>
        <v>most unlikely</v>
      </c>
      <c r="X27" s="164" t="str">
        <f t="shared" si="0"/>
        <v>likely</v>
      </c>
      <c r="Y27" s="164" t="str">
        <f t="shared" si="0"/>
        <v>unlikely</v>
      </c>
      <c r="Z27" s="164" t="str">
        <f t="shared" si="0"/>
        <v>very unlikely</v>
      </c>
      <c r="AA27" s="164" t="str">
        <f t="shared" si="0"/>
        <v>very unlikely</v>
      </c>
      <c r="AB27" s="2"/>
      <c r="AC27" s="131"/>
      <c r="AD27" s="9"/>
      <c r="AE27" s="9"/>
      <c r="AF27" s="174"/>
      <c r="AG27" s="9"/>
      <c r="AH27" s="9"/>
      <c r="AI27" s="9"/>
      <c r="AJ27" s="9"/>
      <c r="AK27" s="12"/>
      <c r="AL27" s="9"/>
      <c r="AM27" s="9"/>
    </row>
    <row r="28" spans="1:37" ht="6.75" customHeight="1">
      <c r="A28" s="138"/>
      <c r="B28" s="3"/>
      <c r="C28" s="15"/>
      <c r="D28" s="15"/>
      <c r="E28" s="15"/>
      <c r="F28" s="15"/>
      <c r="G28" s="15"/>
      <c r="H28" s="15"/>
      <c r="I28" s="15"/>
      <c r="J28" s="15"/>
      <c r="K28" s="3"/>
      <c r="L28" s="3"/>
      <c r="M28" s="3"/>
      <c r="N28" s="3"/>
      <c r="O28" s="3"/>
      <c r="P28" s="3"/>
      <c r="Q28" s="3"/>
      <c r="R28" s="3"/>
      <c r="S28" s="3"/>
      <c r="T28" s="3"/>
      <c r="U28" s="16"/>
      <c r="V28" s="16"/>
      <c r="W28" s="15"/>
      <c r="X28" s="15"/>
      <c r="Y28" s="15"/>
      <c r="Z28" s="15"/>
      <c r="AA28" s="15"/>
      <c r="AB28" s="3"/>
      <c r="AC28" s="138"/>
      <c r="AD28" s="191"/>
      <c r="AE28" s="191"/>
      <c r="AF28" s="175"/>
      <c r="AJ28" s="9"/>
      <c r="AK28" s="9"/>
    </row>
    <row r="29" spans="1:39" s="7" customFormat="1" ht="12.75" customHeight="1">
      <c r="A29" s="73"/>
      <c r="B29" s="30" t="s">
        <v>96</v>
      </c>
      <c r="C29" s="31"/>
      <c r="D29" s="31"/>
      <c r="E29" s="31"/>
      <c r="F29" s="31"/>
      <c r="G29" s="31"/>
      <c r="H29" s="31"/>
      <c r="I29" s="31"/>
      <c r="J29" s="31"/>
      <c r="K29" s="33"/>
      <c r="L29" s="33"/>
      <c r="M29" s="33"/>
      <c r="N29" s="33"/>
      <c r="O29" s="33"/>
      <c r="P29" s="33"/>
      <c r="Q29" s="33"/>
      <c r="R29" s="33"/>
      <c r="S29" s="33"/>
      <c r="T29" s="33"/>
      <c r="U29" s="33"/>
      <c r="V29" s="33"/>
      <c r="W29" s="31"/>
      <c r="X29" s="32"/>
      <c r="Y29" s="32"/>
      <c r="Z29" s="32"/>
      <c r="AA29" s="32"/>
      <c r="AB29" s="33"/>
      <c r="AC29" s="138"/>
      <c r="AD29" s="191"/>
      <c r="AE29" s="191"/>
      <c r="AF29" s="175"/>
      <c r="AG29" s="9"/>
      <c r="AH29" s="9"/>
      <c r="AI29" s="9"/>
      <c r="AJ29" s="9"/>
      <c r="AK29" s="12"/>
      <c r="AL29" s="9"/>
      <c r="AM29" s="9"/>
    </row>
    <row r="30" spans="1:37" ht="12.75" customHeight="1">
      <c r="A30" s="138"/>
      <c r="B30" s="30"/>
      <c r="C30" s="31"/>
      <c r="D30" s="31"/>
      <c r="E30" s="31"/>
      <c r="F30" s="31"/>
      <c r="G30" s="31"/>
      <c r="H30" s="31"/>
      <c r="I30" s="32"/>
      <c r="J30" s="31"/>
      <c r="K30" s="31"/>
      <c r="L30" s="33"/>
      <c r="M30" s="33" t="s">
        <v>43</v>
      </c>
      <c r="N30" s="33"/>
      <c r="O30" s="33"/>
      <c r="P30" s="33"/>
      <c r="Q30" s="33"/>
      <c r="R30" s="33"/>
      <c r="S30" s="33"/>
      <c r="T30" s="33"/>
      <c r="U30" s="33"/>
      <c r="V30" s="319" t="s">
        <v>67</v>
      </c>
      <c r="W30" s="320"/>
      <c r="X30" s="320"/>
      <c r="Y30" s="320"/>
      <c r="Z30" s="320"/>
      <c r="AA30" s="321"/>
      <c r="AB30" s="34"/>
      <c r="AC30" s="73"/>
      <c r="AD30" s="310" t="s">
        <v>58</v>
      </c>
      <c r="AE30" s="311"/>
      <c r="AF30" s="172"/>
      <c r="AJ30" s="9"/>
      <c r="AK30" s="9"/>
    </row>
    <row r="31" spans="1:37" ht="12.75" customHeight="1">
      <c r="A31" s="138"/>
      <c r="B31" s="33"/>
      <c r="C31" s="283" t="s">
        <v>4</v>
      </c>
      <c r="D31" s="283" t="s">
        <v>5</v>
      </c>
      <c r="E31" s="282" t="s">
        <v>6</v>
      </c>
      <c r="F31" s="283" t="s">
        <v>20</v>
      </c>
      <c r="G31" s="286" t="s">
        <v>44</v>
      </c>
      <c r="H31" s="287"/>
      <c r="I31" s="301" t="s">
        <v>10</v>
      </c>
      <c r="J31" s="301"/>
      <c r="K31" s="301"/>
      <c r="L31" s="33"/>
      <c r="M31" s="332" t="s">
        <v>105</v>
      </c>
      <c r="N31" s="33"/>
      <c r="O31" s="33"/>
      <c r="P31" s="33"/>
      <c r="Q31" s="332" t="s">
        <v>8</v>
      </c>
      <c r="R31" s="332" t="s">
        <v>9</v>
      </c>
      <c r="S31" s="33"/>
      <c r="T31" s="34"/>
      <c r="U31" s="33"/>
      <c r="V31" s="322" t="s">
        <v>61</v>
      </c>
      <c r="W31" s="314" t="s">
        <v>68</v>
      </c>
      <c r="X31" s="315"/>
      <c r="Y31" s="315"/>
      <c r="Z31" s="315"/>
      <c r="AA31" s="316"/>
      <c r="AB31" s="34"/>
      <c r="AC31" s="73"/>
      <c r="AD31" s="312"/>
      <c r="AE31" s="313"/>
      <c r="AF31" s="297" t="s">
        <v>7</v>
      </c>
      <c r="AJ31" s="9"/>
      <c r="AK31" s="9"/>
    </row>
    <row r="32" spans="1:39" s="7" customFormat="1" ht="12.75" customHeight="1">
      <c r="A32" s="73"/>
      <c r="B32" s="34"/>
      <c r="C32" s="284"/>
      <c r="D32" s="284"/>
      <c r="E32" s="282"/>
      <c r="F32" s="284"/>
      <c r="G32" s="288"/>
      <c r="H32" s="289"/>
      <c r="I32" s="22" t="s">
        <v>21</v>
      </c>
      <c r="J32" s="248"/>
      <c r="K32" s="249"/>
      <c r="L32" s="36"/>
      <c r="M32" s="333"/>
      <c r="N32" s="137">
        <f>$N$19</f>
        <v>90</v>
      </c>
      <c r="O32" s="307" t="s">
        <v>11</v>
      </c>
      <c r="P32" s="308"/>
      <c r="Q32" s="344"/>
      <c r="R32" s="333"/>
      <c r="S32" s="338" t="s">
        <v>46</v>
      </c>
      <c r="T32" s="339"/>
      <c r="U32" s="36"/>
      <c r="V32" s="347"/>
      <c r="W32" s="322" t="s">
        <v>54</v>
      </c>
      <c r="X32" s="322" t="s">
        <v>57</v>
      </c>
      <c r="Y32" s="345" t="s">
        <v>62</v>
      </c>
      <c r="Z32" s="345" t="s">
        <v>59</v>
      </c>
      <c r="AA32" s="345" t="s">
        <v>60</v>
      </c>
      <c r="AB32" s="36"/>
      <c r="AC32" s="131"/>
      <c r="AD32" s="317" t="s">
        <v>55</v>
      </c>
      <c r="AE32" s="317" t="s">
        <v>56</v>
      </c>
      <c r="AF32" s="298"/>
      <c r="AG32" s="9"/>
      <c r="AH32" s="9"/>
      <c r="AI32" s="12"/>
      <c r="AJ32" s="9"/>
      <c r="AK32" s="9"/>
      <c r="AL32" s="9"/>
      <c r="AM32" s="9"/>
    </row>
    <row r="33" spans="1:39" s="7" customFormat="1" ht="12.75" customHeight="1">
      <c r="A33" s="73"/>
      <c r="B33" s="34"/>
      <c r="C33" s="285"/>
      <c r="D33" s="285"/>
      <c r="E33" s="282"/>
      <c r="F33" s="285"/>
      <c r="G33" s="74" t="s">
        <v>12</v>
      </c>
      <c r="H33" s="62" t="s">
        <v>13</v>
      </c>
      <c r="I33" s="247"/>
      <c r="J33" s="22" t="s">
        <v>22</v>
      </c>
      <c r="K33" s="22" t="s">
        <v>23</v>
      </c>
      <c r="L33" s="36"/>
      <c r="M33" s="247"/>
      <c r="N33" s="26" t="s">
        <v>14</v>
      </c>
      <c r="O33" s="22" t="s">
        <v>15</v>
      </c>
      <c r="P33" s="27" t="s">
        <v>16</v>
      </c>
      <c r="Q33" s="340"/>
      <c r="R33" s="340"/>
      <c r="S33" s="29" t="s">
        <v>17</v>
      </c>
      <c r="T33" s="29" t="s">
        <v>18</v>
      </c>
      <c r="U33" s="36"/>
      <c r="V33" s="323"/>
      <c r="W33" s="323"/>
      <c r="X33" s="323"/>
      <c r="Y33" s="346"/>
      <c r="Z33" s="346"/>
      <c r="AA33" s="346"/>
      <c r="AB33" s="36"/>
      <c r="AC33" s="131"/>
      <c r="AD33" s="318"/>
      <c r="AE33" s="318"/>
      <c r="AF33" s="299"/>
      <c r="AG33" s="348" t="s">
        <v>19</v>
      </c>
      <c r="AH33" s="348"/>
      <c r="AI33" s="348"/>
      <c r="AJ33" s="204"/>
      <c r="AK33" s="9"/>
      <c r="AL33" s="9"/>
      <c r="AM33" s="9"/>
    </row>
    <row r="34" spans="1:39" s="7" customFormat="1" ht="13.5" customHeight="1">
      <c r="A34" s="73"/>
      <c r="B34" s="34"/>
      <c r="C34" s="214">
        <v>-1</v>
      </c>
      <c r="D34" s="125">
        <f>-C34</f>
        <v>1</v>
      </c>
      <c r="E34" s="215">
        <v>1</v>
      </c>
      <c r="F34" s="72">
        <v>50</v>
      </c>
      <c r="G34" s="125">
        <f>$G$19</f>
        <v>0.5</v>
      </c>
      <c r="H34" s="125">
        <f>$H$19</f>
        <v>25</v>
      </c>
      <c r="I34" s="25">
        <f>IF(ISBLANK(I33),AF34*((TINV(G34*2/100,IF(AJ34-2&lt;4,4,AJ34-2))+IF(H34&gt;50,-TINV(2-2*H34/100,999),TINV(2*H34/100,IF(AJ34-2&lt;4,4,AJ34-2))))/(D34-C34))^2,I33)</f>
        <v>24.563896899634745</v>
      </c>
      <c r="J34" s="24">
        <f>F34/100*I34</f>
        <v>12.281948449817373</v>
      </c>
      <c r="K34" s="24">
        <f>I34-J34</f>
        <v>12.281948449817373</v>
      </c>
      <c r="L34" s="37"/>
      <c r="M34" s="20">
        <f>IF(ISBLANK(M33),(D34*TINV(2*G34/100,I34-1)+C34*IF(H34&gt;50,-TINV(2-2*H34/100,I34-2),TINV(2*H34/100,I34-2)))/(TINV(2*G34/100,I34-1)+IF(H34&gt;50,-TINV(2-2*H34/100,I34-2),TINV(2*H34/100,I34-2))),M33)</f>
        <v>0.6073418808006341</v>
      </c>
      <c r="N34" s="28">
        <f>M34-SQRT(AF34/I34)*TINV(1-N32/100,I34-2)</f>
        <v>-0.372606437487924</v>
      </c>
      <c r="O34" s="28">
        <f>M34+SQRT(AF34/I34)*TINV(1-N32/100,I34-2)</f>
        <v>1.587290199089192</v>
      </c>
      <c r="P34" s="28">
        <f>(O34-N34)/2</f>
        <v>0.979948318288558</v>
      </c>
      <c r="Q34" s="20">
        <f>C34</f>
        <v>-1</v>
      </c>
      <c r="R34" s="20">
        <f>D34</f>
        <v>1</v>
      </c>
      <c r="S34" s="196">
        <f>IF(ISERROR(TDIST(IF(R34&gt;Q34,1,-1)*(M34-Q34)/SQRT(AF34/I34),I34-2,1)),1-TDIST(-IF(R34&gt;Q34,1,-1)*(M34-Q34)/SQRT(AF34/I34),I34-2,1),TDIST(IF(R34&gt;Q34,1,-1)*(M34-Q34)/SQRT(AF34/I34),I34-2,1))*100</f>
        <v>0.5025571890762538</v>
      </c>
      <c r="T34" s="24">
        <f>IF(ISERROR(TDIST(IF(R34&gt;Q34,1,-1)*(R34-M34)/SQRT(AF34/I34),I34-2,1)),1-TDIST(-IF(R34&gt;Q34,1,-1)*(R34-M34)/SQRT(AF34/I34),I34-2,1),TDIST(IF(R34&gt;Q34,1,-1)*(R34-M34)/SQRT(AF34/I34),I34-2,1))*100</f>
        <v>24.930712960645295</v>
      </c>
      <c r="U34" s="37"/>
      <c r="V34" s="24">
        <f>MIN(AD34,AE34)</f>
        <v>14.852781477002944</v>
      </c>
      <c r="W34" s="24">
        <f>IF(ISERROR(100*(1-2*TDIST(TINV(1-N32/100,I34-2)-ABS(C34)/SQRT(AF34/I34),I34-2,1))),0,100*(1-2*TDIST(TINV(1-N32/100,I34-2)-ABS(C34)/SQRT(AF34/I34),I34-2,1)))</f>
        <v>0</v>
      </c>
      <c r="X34" s="24">
        <f>100-W34-Y34</f>
        <v>90.63461446238612</v>
      </c>
      <c r="Y34" s="24">
        <f>100*2*TDIST(IF(TINV(1-N32/100,I34-2)&gt;2*ABS(C34)/SQRT(AF34/I34),TINV(1-N32/100,I34-2)-ABS(C34)/SQRT(AF34/I34),ABS(C34)/SQRT(AF34/I34)),I34-2,1)</f>
        <v>9.365385537613879</v>
      </c>
      <c r="Z34" s="196">
        <f>IF(100*2*TDIST(TINV(1-50/100,I34-2)+ABS(C34)/SQRT(AF34/I34),I34-2,1)&gt;Y34,Y34,100*2*TDIST(TINV(1-50/100,I34-2)+ABS(C34)/SQRT(AF34/I34),I34-2,1))</f>
        <v>2.330120090099998</v>
      </c>
      <c r="AA34" s="196">
        <f>100*2*TDIST(TINV(1-N32/100,I34-2)+ABS(C34)/SQRT(AF34/I34),I34-2,1)</f>
        <v>0.21780292071396173</v>
      </c>
      <c r="AB34" s="37"/>
      <c r="AC34" s="147"/>
      <c r="AD34" s="192">
        <f>IF(ISERROR(100*TDIST(ABS(D34)/(E34*SQRT(AF34/I34))-IF(H34&gt;50,-TINV(2-2*H34/100,I34-1),TINV(2*H34/100,I34-1)),I34-1,1)),100-100*TDIST(-(ABS(D34)/(E34*SQRT(AF34/I34))-IF(H34&gt;50,-TINV(2-2*H34/100,I34-1),TINV(2*H34/100,I34-1))),I34-1,1),100*TDIST(ABS(D34)/(E34*SQRT(AF34/I34))-IF(H34&gt;50,-TINV(2-2*H34/100,I34-1),TINV(2*H34/100,I34-1)),I34-1,1))</f>
        <v>14.852781477002944</v>
      </c>
      <c r="AE34" s="192">
        <f>IF(ISERROR(100*TDIST(TINV(G34/100*2,I34-1)-ABS(C34)/(E34*SQRT(AF34/I34)),I34-1,1)),100-100*TDIST(-(TINV(G34/100*2,I34-1)-ABS(C34)/(E34*SQRT(AF34/I34))),I34-1,1),100*TDIST(TINV(G34/100*2,I34-1)-ABS(C34)/(E34*SQRT(AF34/I34)),I34-1,1))</f>
        <v>15.117875390185912</v>
      </c>
      <c r="AF34" s="173">
        <f>2*E34^2/(F34/100*(1-F34/100))</f>
        <v>8</v>
      </c>
      <c r="AG34" s="176">
        <f>AF34*((TINV(G34*2/100,10)+IF(H34&gt;50,-TINV(2-2*H34/100,10),TINV(2*H34/100,10)))/(D34-C34))^2</f>
        <v>29.939633356650816</v>
      </c>
      <c r="AH34" s="176">
        <f>AF34*((TINV(G34*2/100,IF(AG34-2&lt;4,4,AG34-2))+IF(H34&gt;50,-TINV(2-2*H34/100,IF(AG34-2&lt;4,4,AG34-2)),TINV(2*H34/100,IF(AG34-2&lt;4,4,AG34-2))))/(D34-C34))^2</f>
        <v>23.865315678028995</v>
      </c>
      <c r="AI34" s="176">
        <f>AF34*((TINV(G34*2/100,IF(AH34-2&lt;4,4,AH34-2))+IF(H34&gt;50,-TINV(2-2*H34/100,IF(AH34-2&lt;4,4,AH34-2)),TINV(2*H34/100,IF(AH34-2&lt;4,4,AH34-2))))/(D34-C34))^2</f>
        <v>24.748589080418302</v>
      </c>
      <c r="AJ34" s="205">
        <f>AF34*((TINV(G34*2/100,IF(AI34-2&lt;4,4,AI34-2))+IF(H34&gt;50,-TINV(2-2*H34/100,IF(AI34-2&lt;4,4,AI34-2)),TINV(2*H34/100,IF(AI34-2&lt;4,4,AI34-2))))/(D34-C34))^2</f>
        <v>24.563896899634745</v>
      </c>
      <c r="AK34" s="9"/>
      <c r="AL34" s="9"/>
      <c r="AM34" s="9"/>
    </row>
    <row r="35" spans="1:39" s="7" customFormat="1" ht="12.75" customHeight="1">
      <c r="A35" s="73"/>
      <c r="B35" s="34"/>
      <c r="C35" s="35"/>
      <c r="D35" s="35"/>
      <c r="E35" s="35"/>
      <c r="F35" s="34"/>
      <c r="G35" s="23" t="str">
        <f>IF(G34&lt;=0.1,"negligible",IF(G34&lt;=0.5,"most unlikely",IF(G34&lt;=5,"very unlikely",IF(G34&lt;=25,"unlikely",IF(G34&lt;=50,"possible","not computed")))))</f>
        <v>most unlikely</v>
      </c>
      <c r="H35" s="23" t="str">
        <f>IF(H34&lt;0.505,"most unlikely",IF(H34&lt;5.01,"very unlikely",IF(H34&lt;25.1,"unlikely",IF(H34&lt;75,"possible",IF(H34&lt;95,"likely",IF(H34&lt;99.5,"very likely","most likely"))))))</f>
        <v>unlikely</v>
      </c>
      <c r="I35" s="36"/>
      <c r="J35" s="36"/>
      <c r="K35" s="36"/>
      <c r="L35" s="36"/>
      <c r="M35" s="35"/>
      <c r="N35" s="36"/>
      <c r="O35" s="36"/>
      <c r="P35" s="36"/>
      <c r="Q35" s="36"/>
      <c r="R35" s="36"/>
      <c r="S35" s="23" t="str">
        <f>IF(S34&lt;0.505,"most unlikely",IF(S34&lt;5.01,"very unlikely",IF(S34&lt;25.01,"unlikely",IF(S34&lt;74.99,"possible",IF(S34&lt;94.99,"likely",IF(S34&lt;99.49,"very likely","most likely"))))))</f>
        <v>most unlikely</v>
      </c>
      <c r="T35" s="23" t="str">
        <f>IF(T34&lt;0.505,"most unlikely",IF(T34&lt;5.01,"very unlikely",IF(T34&lt;24.99,"unlikely",IF(T34&lt;74.99,"possible",IF(T34&lt;94.99,"likely",IF(T34&lt;99.49,"very likely","most likely"))))))</f>
        <v>unlikely</v>
      </c>
      <c r="U35" s="36"/>
      <c r="V35" s="164" t="str">
        <f aca="true" t="shared" si="1" ref="V35:AA35">IF(V34&lt;0.5,"most unlikely",IF(V34&lt;5,"very unlikely",IF(V34&lt;25,"unlikely",IF(V34&lt;75,"possible",IF(V34&lt;95,"likely",IF(V34&lt;99.5,"very likely","most likely"))))))</f>
        <v>unlikely</v>
      </c>
      <c r="W35" s="164" t="str">
        <f t="shared" si="1"/>
        <v>most unlikely</v>
      </c>
      <c r="X35" s="164" t="str">
        <f t="shared" si="1"/>
        <v>likely</v>
      </c>
      <c r="Y35" s="164" t="str">
        <f t="shared" si="1"/>
        <v>unlikely</v>
      </c>
      <c r="Z35" s="164" t="str">
        <f t="shared" si="1"/>
        <v>very unlikely</v>
      </c>
      <c r="AA35" s="164" t="str">
        <f t="shared" si="1"/>
        <v>most unlikely</v>
      </c>
      <c r="AB35" s="36"/>
      <c r="AC35" s="131"/>
      <c r="AD35" s="9"/>
      <c r="AE35" s="9"/>
      <c r="AF35" s="174"/>
      <c r="AG35" s="9"/>
      <c r="AH35" s="9"/>
      <c r="AI35" s="9"/>
      <c r="AJ35" s="9"/>
      <c r="AK35" s="12"/>
      <c r="AL35" s="9"/>
      <c r="AM35" s="9"/>
    </row>
    <row r="36" spans="1:39" s="7" customFormat="1" ht="6.75" customHeight="1">
      <c r="A36" s="73"/>
      <c r="B36" s="33"/>
      <c r="C36" s="31"/>
      <c r="D36" s="31"/>
      <c r="E36" s="31"/>
      <c r="F36" s="31"/>
      <c r="G36" s="31"/>
      <c r="H36" s="31"/>
      <c r="I36" s="31"/>
      <c r="J36" s="31"/>
      <c r="K36" s="33"/>
      <c r="L36" s="33"/>
      <c r="M36" s="33"/>
      <c r="N36" s="33"/>
      <c r="O36" s="33"/>
      <c r="P36" s="33"/>
      <c r="Q36" s="33"/>
      <c r="R36" s="33"/>
      <c r="S36" s="33"/>
      <c r="T36" s="33"/>
      <c r="U36" s="33"/>
      <c r="V36" s="33"/>
      <c r="W36" s="31"/>
      <c r="X36" s="31"/>
      <c r="Y36" s="31"/>
      <c r="Z36" s="31"/>
      <c r="AA36" s="31"/>
      <c r="AB36" s="33"/>
      <c r="AC36" s="138"/>
      <c r="AD36" s="191"/>
      <c r="AE36" s="191"/>
      <c r="AF36" s="175"/>
      <c r="AG36" s="9"/>
      <c r="AH36" s="9"/>
      <c r="AI36" s="9"/>
      <c r="AJ36" s="9"/>
      <c r="AK36" s="12"/>
      <c r="AL36" s="9"/>
      <c r="AM36" s="9"/>
    </row>
    <row r="37" spans="1:39" s="7" customFormat="1" ht="12.75" customHeight="1">
      <c r="A37" s="73"/>
      <c r="B37" s="38" t="s">
        <v>100</v>
      </c>
      <c r="C37" s="40"/>
      <c r="D37" s="40"/>
      <c r="E37" s="40"/>
      <c r="F37" s="40"/>
      <c r="G37" s="47"/>
      <c r="H37" s="47"/>
      <c r="I37" s="40"/>
      <c r="J37" s="40"/>
      <c r="K37" s="40"/>
      <c r="L37" s="40"/>
      <c r="M37" s="40"/>
      <c r="N37" s="40"/>
      <c r="O37" s="40"/>
      <c r="P37" s="40"/>
      <c r="Q37" s="40"/>
      <c r="R37" s="40"/>
      <c r="S37" s="40"/>
      <c r="T37" s="40"/>
      <c r="U37" s="40"/>
      <c r="V37" s="40"/>
      <c r="W37" s="48"/>
      <c r="X37" s="48"/>
      <c r="Y37" s="48"/>
      <c r="Z37" s="48"/>
      <c r="AA37" s="48"/>
      <c r="AB37" s="40"/>
      <c r="AC37" s="73"/>
      <c r="AD37" s="193"/>
      <c r="AE37" s="193"/>
      <c r="AF37" s="9"/>
      <c r="AG37" s="9"/>
      <c r="AH37" s="9"/>
      <c r="AI37" s="9"/>
      <c r="AJ37" s="9"/>
      <c r="AK37" s="9"/>
      <c r="AL37" s="9"/>
      <c r="AM37" s="9"/>
    </row>
    <row r="38" spans="1:39" s="7" customFormat="1" ht="12.75" customHeight="1">
      <c r="A38" s="73"/>
      <c r="B38" s="38"/>
      <c r="C38" s="39"/>
      <c r="D38" s="39"/>
      <c r="E38" s="39"/>
      <c r="F38" s="40"/>
      <c r="G38" s="41"/>
      <c r="H38" s="41"/>
      <c r="I38" s="42"/>
      <c r="J38" s="42"/>
      <c r="K38" s="42"/>
      <c r="L38" s="42"/>
      <c r="M38" s="40" t="s">
        <v>43</v>
      </c>
      <c r="N38" s="42"/>
      <c r="O38" s="42"/>
      <c r="P38" s="42"/>
      <c r="Q38" s="42"/>
      <c r="R38" s="42"/>
      <c r="S38" s="42"/>
      <c r="T38" s="42"/>
      <c r="U38" s="42"/>
      <c r="V38" s="319" t="s">
        <v>67</v>
      </c>
      <c r="W38" s="320"/>
      <c r="X38" s="320"/>
      <c r="Y38" s="320"/>
      <c r="Z38" s="320"/>
      <c r="AA38" s="321"/>
      <c r="AB38" s="42"/>
      <c r="AC38" s="131"/>
      <c r="AD38" s="310" t="s">
        <v>58</v>
      </c>
      <c r="AE38" s="311"/>
      <c r="AF38" s="174"/>
      <c r="AG38" s="9"/>
      <c r="AH38" s="9"/>
      <c r="AI38" s="9"/>
      <c r="AJ38" s="9"/>
      <c r="AK38" s="12"/>
      <c r="AL38" s="9"/>
      <c r="AM38" s="9"/>
    </row>
    <row r="39" spans="1:39" ht="12.75" customHeight="1">
      <c r="A39" s="138"/>
      <c r="B39" s="43"/>
      <c r="C39" s="282" t="s">
        <v>24</v>
      </c>
      <c r="D39" s="282" t="s">
        <v>25</v>
      </c>
      <c r="E39" s="282" t="s">
        <v>26</v>
      </c>
      <c r="F39" s="283" t="s">
        <v>98</v>
      </c>
      <c r="G39" s="286" t="s">
        <v>44</v>
      </c>
      <c r="H39" s="287"/>
      <c r="I39" s="161"/>
      <c r="J39" s="44"/>
      <c r="K39" s="43"/>
      <c r="L39" s="43"/>
      <c r="M39" s="302" t="s">
        <v>48</v>
      </c>
      <c r="N39" s="179"/>
      <c r="O39" s="43"/>
      <c r="P39" s="43"/>
      <c r="Q39" s="332" t="s">
        <v>8</v>
      </c>
      <c r="R39" s="332" t="s">
        <v>9</v>
      </c>
      <c r="S39" s="43"/>
      <c r="T39" s="40"/>
      <c r="U39" s="43"/>
      <c r="V39" s="322" t="s">
        <v>61</v>
      </c>
      <c r="W39" s="314" t="s">
        <v>68</v>
      </c>
      <c r="X39" s="315"/>
      <c r="Y39" s="315"/>
      <c r="Z39" s="315"/>
      <c r="AA39" s="316"/>
      <c r="AB39" s="43"/>
      <c r="AC39" s="138"/>
      <c r="AD39" s="312"/>
      <c r="AE39" s="313"/>
      <c r="AF39" s="297" t="s">
        <v>7</v>
      </c>
      <c r="AK39" s="9"/>
      <c r="AL39" s="9"/>
      <c r="AM39" s="9"/>
    </row>
    <row r="40" spans="1:39" s="7" customFormat="1" ht="12.75" customHeight="1">
      <c r="A40" s="73"/>
      <c r="B40" s="40"/>
      <c r="C40" s="282"/>
      <c r="D40" s="282"/>
      <c r="E40" s="282"/>
      <c r="F40" s="284"/>
      <c r="G40" s="288"/>
      <c r="H40" s="289"/>
      <c r="I40" s="301" t="s">
        <v>10</v>
      </c>
      <c r="J40" s="301"/>
      <c r="K40" s="301"/>
      <c r="L40" s="42"/>
      <c r="M40" s="303"/>
      <c r="N40" s="137">
        <f>$N$19</f>
        <v>90</v>
      </c>
      <c r="O40" s="307" t="s">
        <v>11</v>
      </c>
      <c r="P40" s="308"/>
      <c r="Q40" s="344"/>
      <c r="R40" s="333"/>
      <c r="S40" s="338" t="s">
        <v>46</v>
      </c>
      <c r="T40" s="339"/>
      <c r="U40" s="42"/>
      <c r="V40" s="347"/>
      <c r="W40" s="322" t="s">
        <v>54</v>
      </c>
      <c r="X40" s="322" t="s">
        <v>57</v>
      </c>
      <c r="Y40" s="345" t="s">
        <v>62</v>
      </c>
      <c r="Z40" s="345" t="s">
        <v>59</v>
      </c>
      <c r="AA40" s="345" t="s">
        <v>60</v>
      </c>
      <c r="AB40" s="45"/>
      <c r="AC40" s="134"/>
      <c r="AD40" s="317" t="s">
        <v>55</v>
      </c>
      <c r="AE40" s="317" t="s">
        <v>56</v>
      </c>
      <c r="AF40" s="298"/>
      <c r="AG40" s="9"/>
      <c r="AH40" s="9"/>
      <c r="AI40" s="9"/>
      <c r="AJ40" s="9"/>
      <c r="AK40" s="12"/>
      <c r="AL40" s="9"/>
      <c r="AM40" s="9"/>
    </row>
    <row r="41" spans="1:39" s="7" customFormat="1" ht="12.75" customHeight="1">
      <c r="A41" s="73"/>
      <c r="B41" s="40"/>
      <c r="C41" s="282"/>
      <c r="D41" s="282"/>
      <c r="E41" s="282"/>
      <c r="F41" s="285"/>
      <c r="G41" s="74" t="s">
        <v>12</v>
      </c>
      <c r="H41" s="62" t="s">
        <v>13</v>
      </c>
      <c r="I41" s="22" t="s">
        <v>21</v>
      </c>
      <c r="J41" s="22" t="s">
        <v>82</v>
      </c>
      <c r="K41" s="22" t="s">
        <v>83</v>
      </c>
      <c r="L41" s="42"/>
      <c r="M41" s="303"/>
      <c r="N41" s="22" t="s">
        <v>14</v>
      </c>
      <c r="O41" s="22" t="s">
        <v>15</v>
      </c>
      <c r="P41" s="22" t="s">
        <v>16</v>
      </c>
      <c r="Q41" s="340"/>
      <c r="R41" s="340"/>
      <c r="S41" s="29" t="s">
        <v>17</v>
      </c>
      <c r="T41" s="29" t="s">
        <v>18</v>
      </c>
      <c r="U41" s="42"/>
      <c r="V41" s="323"/>
      <c r="W41" s="323"/>
      <c r="X41" s="323"/>
      <c r="Y41" s="346"/>
      <c r="Z41" s="346"/>
      <c r="AA41" s="346"/>
      <c r="AB41" s="42"/>
      <c r="AC41" s="131"/>
      <c r="AD41" s="318"/>
      <c r="AE41" s="318"/>
      <c r="AF41" s="299"/>
      <c r="AG41" s="349" t="s">
        <v>19</v>
      </c>
      <c r="AH41" s="350"/>
      <c r="AI41" s="351"/>
      <c r="AJ41" s="178"/>
      <c r="AK41" s="178"/>
      <c r="AL41" s="178"/>
      <c r="AM41" s="12"/>
    </row>
    <row r="42" spans="1:39" s="7" customFormat="1" ht="13.5" customHeight="1">
      <c r="A42" s="73"/>
      <c r="B42" s="40"/>
      <c r="C42" s="215">
        <v>-0.2</v>
      </c>
      <c r="D42" s="125">
        <f>-C42</f>
        <v>0.2</v>
      </c>
      <c r="E42" s="215">
        <v>1</v>
      </c>
      <c r="F42" s="49">
        <v>50</v>
      </c>
      <c r="G42" s="125">
        <f>$G$19</f>
        <v>0.5</v>
      </c>
      <c r="H42" s="125">
        <f>$H$19</f>
        <v>25</v>
      </c>
      <c r="I42" s="25">
        <f>AF42*((TINV(G42*2/100,AI42-2)+IF(H42&gt;50,-TINV(2-2*H42/100,AI42-2),TINV(2*H42/100,AI42-2)))/(D42-C42))^2</f>
        <v>267.31031103596047</v>
      </c>
      <c r="J42" s="24">
        <f>F42/100*I42</f>
        <v>133.65515551798023</v>
      </c>
      <c r="K42" s="24">
        <f>I42-J42</f>
        <v>133.65515551798023</v>
      </c>
      <c r="L42" s="46"/>
      <c r="M42" s="20">
        <f>(D42*TINV(2*G42/100,I42-1)+C42*IF(H42&gt;50,-TINV(2-2*H42/100,I42-2),TINV(2*H42/100,I42-2)))/(TINV(2*G42/100,I42-1)+IF(H42&gt;50,-TINV(2-2*H42/100,I42-2),TINV(2*H42/100,I42-2)))</f>
        <v>0.11737655329548355</v>
      </c>
      <c r="N42" s="28">
        <f>M42-SQRT(AF42/I42)*TINV(1-N40/100,I42-2)</f>
        <v>-0.08453923977262984</v>
      </c>
      <c r="O42" s="28">
        <f>M42+SQRT(AF42/I42)*TINV(1-N40/100,I42-2)</f>
        <v>0.31929234636359693</v>
      </c>
      <c r="P42" s="28">
        <f>(O42-N42)/2</f>
        <v>0.20191579306811339</v>
      </c>
      <c r="Q42" s="20">
        <f>C42</f>
        <v>-0.2</v>
      </c>
      <c r="R42" s="20">
        <f>D42</f>
        <v>0.2</v>
      </c>
      <c r="S42" s="196">
        <f>IF(ISERROR(TDIST(IF(R42&gt;Q42,1,-1)*(M42-Q42)/SQRT(AF42/I42),I42-2,1)),1-TDIST(-IF(R42&gt;Q42,1,-1)*(M42-Q42)/SQRT(AF42/I42),I42-2,1),TDIST(IF(R42&gt;Q42,1,-1)*(M42-Q42)/SQRT(AF42/I42),I42-2,1))*100</f>
        <v>0.5000207041441448</v>
      </c>
      <c r="T42" s="24">
        <f>IF(ISERROR(TDIST(IF(R42&gt;Q42,1,-1)*(R42-M42)/SQRT(AF42/I42),I42-2,1)),1-TDIST(-IF(R42&gt;Q42,1,-1)*(R42-M42)/SQRT(AF42/I42),I42-2,1),TDIST(IF(R42&gt;Q42,1,-1)*(R42-M42)/SQRT(AF42/I42),I42-2,1))*100</f>
        <v>24.99953696838923</v>
      </c>
      <c r="U42" s="46"/>
      <c r="V42" s="24">
        <f>MIN(AD42,AE42)</f>
        <v>16.907667143358786</v>
      </c>
      <c r="W42" s="24">
        <f>IF(ISERROR(100*(1-2*TDIST(TINV(1-N40/100,I42-2)-ABS(C42)/SQRT(AF42/I42),I42-2,1))),0,100*(1-2*TDIST(TINV(1-N40/100,I42-2)-ABS(C42)/SQRT(AF42/I42),I42-2,1)))</f>
        <v>1.2483575375999867</v>
      </c>
      <c r="X42" s="24">
        <f>100-W42-Y42</f>
        <v>88.42722996473815</v>
      </c>
      <c r="Y42" s="24">
        <f>100*2*TDIST(IF(TINV(1-N40/100,I42-2)&gt;2*ABS(C42)/SQRT(AF42/I42),TINV(1-N40/100,I42-2)-ABS(C42)/SQRT(AF42/I42),ABS(C42)/SQRT(AF42/I42)),I42-2,1)</f>
        <v>10.324412497661871</v>
      </c>
      <c r="Z42" s="196">
        <f>IF(100*2*TDIST(TINV(1-50/100,I42-2)+ABS(C42)/SQRT(AF42/I42),I42-2,1)&gt;Y42,Y42,100*2*TDIST(TINV(1-50/100,I42-2)+ABS(C42)/SQRT(AF42/I42),I42-2,1))</f>
        <v>2.163553947466379</v>
      </c>
      <c r="AA42" s="196">
        <f>100*2*TDIST(TINV(1-N40/100,I42-2)+ABS(C42)/SQRT(AF42/I42),I42-2,1)</f>
        <v>0.11549115601870538</v>
      </c>
      <c r="AB42" s="46"/>
      <c r="AC42" s="147"/>
      <c r="AD42" s="192">
        <f>IF(ISERROR(100*TDIST(ABS(D42)/(E42*SQRT(AF42/I42))-IF(H42&gt;50,-TINV(2-2*H42/100,I42-1),TINV(2*H42/100,I42-1)),I42-1,1)),100-100*TDIST(-(ABS(D42)/(E42*SQRT(AF42/I42))-IF(H42&gt;50,-TINV(2-2*H42/100,I42-1),TINV(2*H42/100,I42-1))),I42-1,1),100*TDIST(ABS(D42)/(E42*SQRT(AF42/I42))-IF(H42&gt;50,-TINV(2-2*H42/100,I42-1),TINV(2*H42/100,I42-1)),I42-1,1))</f>
        <v>16.907667143358786</v>
      </c>
      <c r="AE42" s="192">
        <f>IF(ISERROR(100*TDIST(TINV(G42/100*2,I42-1)-ABS(C42)/(E42*SQRT(AF42/I42)),I42-1,1)),100-100*TDIST(-(TINV(G42/100*2,I42-1)-ABS(C42)/(E42*SQRT(AF42/I42))),I42-1,1),100*TDIST(TINV(G42/100*2,I42-1)-ABS(C42)/(E42*SQRT(AF42/I42)),I42-1,1))</f>
        <v>16.909531436265723</v>
      </c>
      <c r="AF42" s="176">
        <f>E42^2/(F42/100*(1-F42/100))</f>
        <v>4</v>
      </c>
      <c r="AG42" s="176">
        <f>AF42*((TINV(G42*2/100,100)+IF(H42&gt;50,-TINV(2-2*H42/100,100),TINV(2*H42/100,100)))/(D42-C42))^2</f>
        <v>272.7190599963785</v>
      </c>
      <c r="AH42" s="176">
        <f>AF42*((TINV(G42*2/100,AG42-1)+IF(H42&gt;50,-TINV(2-2*H42/100,AG42-1),TINV(2*H42/100,AG42-1)))/(D42-C42))^2</f>
        <v>267.2388898056884</v>
      </c>
      <c r="AI42" s="176">
        <f>AF42*((TINV(G42*2/100,AH42-1)+IF(H42&gt;50,-TINV(2-2*H42/100,AH42-1),TINV(2*H42/100,AH42-1)))/(D42-C42))^2</f>
        <v>267.2981816180949</v>
      </c>
      <c r="AJ42" s="140"/>
      <c r="AK42" s="140"/>
      <c r="AL42" s="140"/>
      <c r="AM42" s="9"/>
    </row>
    <row r="43" spans="1:34" ht="12.75" customHeight="1">
      <c r="A43" s="138"/>
      <c r="B43" s="43"/>
      <c r="C43" s="44"/>
      <c r="D43" s="44"/>
      <c r="E43" s="44"/>
      <c r="F43" s="43"/>
      <c r="G43" s="23" t="str">
        <f>IF(G42&lt;=0.1,"negligible",IF(G42&lt;=0.5,"most unlikely",IF(G42&lt;=5,"very unlikely",IF(G42&lt;=25,"unlikely",IF(G42&lt;=50,"possible","not computed")))))</f>
        <v>most unlikely</v>
      </c>
      <c r="H43" s="23" t="str">
        <f>IF(H42&lt;0.505,"most unlikely",IF(H42&lt;5.01,"very unlikely",IF(H42&lt;25.1,"unlikely",IF(H42&lt;75,"possible",IF(H42&lt;95,"likely",IF(H42&lt;99.5,"very likely","most likely"))))))</f>
        <v>unlikely</v>
      </c>
      <c r="I43" s="161"/>
      <c r="J43" s="162"/>
      <c r="K43" s="43"/>
      <c r="L43" s="43"/>
      <c r="M43" s="179"/>
      <c r="N43" s="43"/>
      <c r="O43" s="43"/>
      <c r="P43" s="43"/>
      <c r="Q43" s="42"/>
      <c r="R43" s="42"/>
      <c r="S43" s="23" t="str">
        <f>IF(S42&lt;0.505,"most unlikely",IF(S42&lt;5.01,"very unlikely",IF(S42&lt;25.01,"unlikely",IF(S42&lt;74.99,"possible",IF(S42&lt;94.99,"likely",IF(S42&lt;99.49,"very likely","most likely"))))))</f>
        <v>most unlikely</v>
      </c>
      <c r="T43" s="23" t="str">
        <f>IF(T42&lt;0.505,"most unlikely",IF(T42&lt;5.01,"very unlikely",IF(T42&lt;24.99,"unlikely",IF(T42&lt;74.99,"possible",IF(T42&lt;94.99,"likely",IF(T42&lt;99.49,"very likely","most likely"))))))</f>
        <v>possible</v>
      </c>
      <c r="U43" s="43"/>
      <c r="V43" s="164" t="str">
        <f aca="true" t="shared" si="2" ref="V43:AA43">IF(V42&lt;0.5,"most unlikely",IF(V42&lt;5,"very unlikely",IF(V42&lt;25,"unlikely",IF(V42&lt;75,"possible",IF(V42&lt;95,"likely",IF(V42&lt;99.5,"very likely","most likely"))))))</f>
        <v>unlikely</v>
      </c>
      <c r="W43" s="164" t="str">
        <f t="shared" si="2"/>
        <v>very unlikely</v>
      </c>
      <c r="X43" s="164" t="str">
        <f t="shared" si="2"/>
        <v>likely</v>
      </c>
      <c r="Y43" s="164" t="str">
        <f t="shared" si="2"/>
        <v>unlikely</v>
      </c>
      <c r="Z43" s="164" t="str">
        <f t="shared" si="2"/>
        <v>very unlikely</v>
      </c>
      <c r="AA43" s="164" t="str">
        <f t="shared" si="2"/>
        <v>most unlikely</v>
      </c>
      <c r="AB43" s="43"/>
      <c r="AC43" s="138"/>
      <c r="AD43" s="9"/>
      <c r="AE43" s="9"/>
      <c r="AF43" s="175"/>
      <c r="AG43" s="9"/>
      <c r="AH43" s="9"/>
    </row>
    <row r="44" spans="1:39" s="7" customFormat="1" ht="6.75" customHeight="1">
      <c r="A44" s="73"/>
      <c r="B44" s="40"/>
      <c r="C44" s="40"/>
      <c r="D44" s="40"/>
      <c r="E44" s="40"/>
      <c r="F44" s="40"/>
      <c r="G44" s="47"/>
      <c r="H44" s="47"/>
      <c r="I44" s="40"/>
      <c r="J44" s="40"/>
      <c r="K44" s="40"/>
      <c r="L44" s="40"/>
      <c r="M44" s="40"/>
      <c r="N44" s="40"/>
      <c r="O44" s="40"/>
      <c r="P44" s="40"/>
      <c r="Q44" s="40"/>
      <c r="R44" s="40"/>
      <c r="S44" s="40"/>
      <c r="T44" s="40"/>
      <c r="U44" s="40"/>
      <c r="V44" s="40"/>
      <c r="W44" s="48"/>
      <c r="X44" s="48"/>
      <c r="Y44" s="48"/>
      <c r="Z44" s="48"/>
      <c r="AA44" s="48"/>
      <c r="AB44" s="40"/>
      <c r="AC44" s="73"/>
      <c r="AD44" s="193"/>
      <c r="AE44" s="193"/>
      <c r="AF44" s="9"/>
      <c r="AG44" s="9"/>
      <c r="AH44" s="9"/>
      <c r="AI44" s="9"/>
      <c r="AJ44" s="9"/>
      <c r="AK44" s="9"/>
      <c r="AL44" s="9"/>
      <c r="AM44" s="9"/>
    </row>
    <row r="45" spans="1:39" s="7" customFormat="1" ht="12.75" customHeight="1">
      <c r="A45" s="73"/>
      <c r="B45" s="50" t="s">
        <v>28</v>
      </c>
      <c r="C45" s="52"/>
      <c r="D45" s="52"/>
      <c r="E45" s="52"/>
      <c r="F45" s="52"/>
      <c r="G45" s="52"/>
      <c r="H45" s="52"/>
      <c r="I45" s="52"/>
      <c r="J45" s="52"/>
      <c r="K45" s="52"/>
      <c r="L45" s="52"/>
      <c r="M45" s="52"/>
      <c r="N45" s="52"/>
      <c r="O45" s="52"/>
      <c r="P45" s="52"/>
      <c r="Q45" s="52"/>
      <c r="R45" s="52"/>
      <c r="S45" s="52"/>
      <c r="T45" s="52"/>
      <c r="U45" s="52"/>
      <c r="V45" s="52"/>
      <c r="W45" s="61"/>
      <c r="X45" s="61"/>
      <c r="Y45" s="61"/>
      <c r="Z45" s="61"/>
      <c r="AA45" s="61"/>
      <c r="AB45" s="52"/>
      <c r="AC45" s="73"/>
      <c r="AD45" s="193"/>
      <c r="AE45" s="193"/>
      <c r="AF45" s="9"/>
      <c r="AG45" s="9"/>
      <c r="AH45" s="9"/>
      <c r="AI45" s="9"/>
      <c r="AJ45" s="9"/>
      <c r="AK45" s="9"/>
      <c r="AL45" s="9"/>
      <c r="AM45" s="9"/>
    </row>
    <row r="46" spans="1:32" s="9" customFormat="1" ht="12.75" customHeight="1">
      <c r="A46" s="73"/>
      <c r="B46" s="50"/>
      <c r="C46" s="51"/>
      <c r="D46" s="51"/>
      <c r="E46" s="52"/>
      <c r="F46" s="165"/>
      <c r="G46" s="53"/>
      <c r="H46" s="53"/>
      <c r="I46" s="54"/>
      <c r="J46" s="166"/>
      <c r="K46" s="75"/>
      <c r="L46" s="54"/>
      <c r="M46" s="52" t="s">
        <v>43</v>
      </c>
      <c r="N46" s="54"/>
      <c r="O46" s="54"/>
      <c r="P46" s="52"/>
      <c r="Q46" s="52"/>
      <c r="R46" s="52"/>
      <c r="S46" s="52"/>
      <c r="T46" s="55"/>
      <c r="U46" s="54"/>
      <c r="V46" s="319" t="s">
        <v>67</v>
      </c>
      <c r="W46" s="320"/>
      <c r="X46" s="320"/>
      <c r="Y46" s="320"/>
      <c r="Z46" s="320"/>
      <c r="AA46" s="321"/>
      <c r="AB46" s="52"/>
      <c r="AC46" s="73"/>
      <c r="AD46" s="310" t="s">
        <v>58</v>
      </c>
      <c r="AE46" s="311"/>
      <c r="AF46" s="8"/>
    </row>
    <row r="47" spans="1:34" s="11" customFormat="1" ht="12.75" customHeight="1">
      <c r="A47" s="138"/>
      <c r="B47" s="56"/>
      <c r="C47" s="283" t="s">
        <v>29</v>
      </c>
      <c r="D47" s="283" t="s">
        <v>30</v>
      </c>
      <c r="E47" s="63"/>
      <c r="F47" s="64"/>
      <c r="G47" s="286" t="s">
        <v>44</v>
      </c>
      <c r="H47" s="287"/>
      <c r="I47" s="57"/>
      <c r="J47" s="57"/>
      <c r="K47" s="58"/>
      <c r="L47" s="58"/>
      <c r="M47" s="302" t="s">
        <v>49</v>
      </c>
      <c r="N47" s="58"/>
      <c r="O47" s="58"/>
      <c r="P47" s="58"/>
      <c r="Q47" s="332" t="s">
        <v>8</v>
      </c>
      <c r="R47" s="332" t="s">
        <v>9</v>
      </c>
      <c r="S47" s="56"/>
      <c r="T47" s="52"/>
      <c r="U47" s="58"/>
      <c r="V47" s="322" t="s">
        <v>61</v>
      </c>
      <c r="W47" s="314" t="s">
        <v>68</v>
      </c>
      <c r="X47" s="315"/>
      <c r="Y47" s="315"/>
      <c r="Z47" s="315"/>
      <c r="AA47" s="316"/>
      <c r="AB47" s="52"/>
      <c r="AC47" s="73"/>
      <c r="AD47" s="312"/>
      <c r="AE47" s="313"/>
      <c r="AF47" s="297" t="s">
        <v>7</v>
      </c>
      <c r="AG47" s="9"/>
      <c r="AH47" s="9"/>
    </row>
    <row r="48" spans="1:32" s="9" customFormat="1" ht="12.75" customHeight="1">
      <c r="A48" s="73"/>
      <c r="B48" s="52"/>
      <c r="C48" s="284"/>
      <c r="D48" s="284"/>
      <c r="E48" s="65"/>
      <c r="F48" s="66"/>
      <c r="G48" s="288"/>
      <c r="H48" s="289"/>
      <c r="I48" s="309" t="s">
        <v>10</v>
      </c>
      <c r="J48" s="54"/>
      <c r="K48" s="59"/>
      <c r="L48" s="59"/>
      <c r="M48" s="303"/>
      <c r="N48" s="137">
        <f>$N$19</f>
        <v>90</v>
      </c>
      <c r="O48" s="307" t="s">
        <v>11</v>
      </c>
      <c r="P48" s="308"/>
      <c r="Q48" s="344"/>
      <c r="R48" s="333"/>
      <c r="S48" s="338" t="s">
        <v>46</v>
      </c>
      <c r="T48" s="339"/>
      <c r="U48" s="59"/>
      <c r="V48" s="347"/>
      <c r="W48" s="322" t="s">
        <v>54</v>
      </c>
      <c r="X48" s="322" t="s">
        <v>57</v>
      </c>
      <c r="Y48" s="345" t="s">
        <v>62</v>
      </c>
      <c r="Z48" s="345" t="s">
        <v>59</v>
      </c>
      <c r="AA48" s="345" t="s">
        <v>60</v>
      </c>
      <c r="AB48" s="55"/>
      <c r="AC48" s="148"/>
      <c r="AD48" s="317" t="s">
        <v>55</v>
      </c>
      <c r="AE48" s="317" t="s">
        <v>56</v>
      </c>
      <c r="AF48" s="298"/>
    </row>
    <row r="49" spans="1:32" s="9" customFormat="1" ht="12.75" customHeight="1">
      <c r="A49" s="73"/>
      <c r="B49" s="52"/>
      <c r="C49" s="285"/>
      <c r="D49" s="285"/>
      <c r="E49" s="65"/>
      <c r="F49" s="66"/>
      <c r="G49" s="74" t="s">
        <v>12</v>
      </c>
      <c r="H49" s="62" t="s">
        <v>13</v>
      </c>
      <c r="I49" s="309"/>
      <c r="J49" s="54"/>
      <c r="K49" s="54"/>
      <c r="L49" s="54"/>
      <c r="M49" s="303"/>
      <c r="N49" s="22" t="s">
        <v>14</v>
      </c>
      <c r="O49" s="22" t="s">
        <v>15</v>
      </c>
      <c r="P49" s="62" t="s">
        <v>53</v>
      </c>
      <c r="Q49" s="340"/>
      <c r="R49" s="340"/>
      <c r="S49" s="29" t="s">
        <v>17</v>
      </c>
      <c r="T49" s="29" t="s">
        <v>18</v>
      </c>
      <c r="U49" s="54"/>
      <c r="V49" s="323"/>
      <c r="W49" s="323"/>
      <c r="X49" s="323"/>
      <c r="Y49" s="346"/>
      <c r="Z49" s="346"/>
      <c r="AA49" s="346"/>
      <c r="AB49" s="52"/>
      <c r="AC49" s="73"/>
      <c r="AD49" s="318"/>
      <c r="AE49" s="318"/>
      <c r="AF49" s="299"/>
    </row>
    <row r="50" spans="1:32" s="9" customFormat="1" ht="13.5" customHeight="1">
      <c r="A50" s="73"/>
      <c r="B50" s="52"/>
      <c r="C50" s="21">
        <v>-0.1</v>
      </c>
      <c r="D50" s="20">
        <f>-C50</f>
        <v>0.1</v>
      </c>
      <c r="E50" s="67"/>
      <c r="F50" s="68"/>
      <c r="G50" s="125">
        <f>$G$19</f>
        <v>0.5</v>
      </c>
      <c r="H50" s="125">
        <f>$H$19</f>
        <v>25</v>
      </c>
      <c r="I50" s="25">
        <f>AF50*((NORMSINV(1-G50/100)+NORMSINV(1-H50/100))/(FISHER(D50)-FISHER(C50)))^2+3</f>
        <v>265.35181669032556</v>
      </c>
      <c r="J50" s="60"/>
      <c r="K50" s="60"/>
      <c r="L50" s="60"/>
      <c r="M50" s="20">
        <f>FISHERINV((FISHER(D50)*NORMSINV(1-G50/100)+FISHER(C50)*NORMSINV(1-H50/100))/(NORMSINV(1-G50/100)+NORMSINV(1-H50/100)))</f>
        <v>0.05862587678486486</v>
      </c>
      <c r="N50" s="28">
        <f>FISHERINV(FISHER(M50)+SQRT(AF50/(I50-3))*NORMSINV((1-N48/100)/2))</f>
        <v>-0.042831834518055785</v>
      </c>
      <c r="O50" s="28">
        <f>FISHERINV(FISHER(M50)+SQRT(AF50/(I50-3))*NORMSINV(1-(1-N48/100)/2))</f>
        <v>0.1588867616359326</v>
      </c>
      <c r="P50" s="28">
        <f>(O50-N50)/2</f>
        <v>0.10085929807699419</v>
      </c>
      <c r="Q50" s="20">
        <f>C50</f>
        <v>-0.1</v>
      </c>
      <c r="R50" s="20">
        <f>D50</f>
        <v>0.1</v>
      </c>
      <c r="S50" s="196">
        <f>NORMSDIST(-IF(R50&gt;Q50,1,-1)*(FISHER(M50)-FISHER(Q50))/SQRT(AF50/(I50-3)))*100</f>
        <v>0.5000000000000009</v>
      </c>
      <c r="T50" s="24">
        <f>NORMSDIST(-IF(R50&gt;Q50,1,-1)*(FISHER(R50)-FISHER(M50))/SQRT(AF50/(I50-3)))*100</f>
        <v>24.99999999999998</v>
      </c>
      <c r="U50" s="60"/>
      <c r="V50" s="24">
        <f>MIN(AD50,AE50)</f>
        <v>16.854390559881935</v>
      </c>
      <c r="W50" s="24">
        <f>IF(100*(1-2*(1-NORMSDIST(-NORMSINV((1-N48/100)/2)-ABS(FISHER(C50))/SQRT(AF50/I50))))&lt;0,0,100*(1-2*(1-NORMSDIST(-NORMSINV((1-N48/100)/2)-ABS(FISHER(C50))/SQRT(AF50/I50)))))</f>
        <v>0.8320701042904943</v>
      </c>
      <c r="X50" s="24">
        <f>100-W50-Y50</f>
        <v>88.95096535206868</v>
      </c>
      <c r="Y50" s="24">
        <f>100*2*(1-NORMSDIST(IF(-NORMSINV((1-N48/100)/2)&gt;2*ABS(FISHER(C50))/SQRT(AF50/I50),-NORMSINV((1-N48/100)/2)-ABS(FISHER(C50))/SQRT(AF50/I50),ABS(FISHER(C50))/SQRT(AF50/I50))))</f>
        <v>10.216964543640827</v>
      </c>
      <c r="Z50" s="196">
        <f>IF(100*2*(1-NORMSDIST(-NORMSINV((1-50/100)/2)+ABS(FISHER(C50))/SQRT(AF50/I50)))&gt;Y50,Y50,100*2*(1-NORMSDIST(-NORMSINV((1-50/100)/2)+ABS(FISHER(C50))/SQRT(AF50/I50))))</f>
        <v>2.094831311242551</v>
      </c>
      <c r="AA50" s="196">
        <f>100*2*(1-NORMSDIST(-NORMSINV((1-N48/100)/2)+ABS(FISHER(C50))/SQRT(AF50/I50)))</f>
        <v>0.10407283193873962</v>
      </c>
      <c r="AB50" s="52"/>
      <c r="AC50" s="73"/>
      <c r="AD50" s="192">
        <f>100-100*NORMSDIST(ABS(FISHER(D50))/SQRT(AF50/I50)-NORMSINV(1-H50/100))</f>
        <v>16.854390559881935</v>
      </c>
      <c r="AE50" s="192">
        <f>100-100*NORMSDIST(NORMSINV(1-G50/100)-ABS(FISHER(C50))/SQRT(AF50/I50))</f>
        <v>17.32488508502672</v>
      </c>
      <c r="AF50" s="176">
        <v>1</v>
      </c>
    </row>
    <row r="51" spans="1:32" s="11" customFormat="1" ht="12.75" customHeight="1">
      <c r="A51" s="138"/>
      <c r="B51" s="56"/>
      <c r="C51" s="57"/>
      <c r="D51" s="57"/>
      <c r="E51" s="57"/>
      <c r="F51" s="56"/>
      <c r="G51" s="23" t="str">
        <f>IF(G50&lt;=0.1,"negligible",IF(G50&lt;=0.5,"most unlikely",IF(G50&lt;=5,"very unlikely",IF(G50&lt;=25,"unlikely",IF(G50&lt;=50,"possible","not computed")))))</f>
        <v>most unlikely</v>
      </c>
      <c r="H51" s="23" t="str">
        <f>IF(H50&lt;0.505,"most unlikely",IF(H50&lt;5.01,"very unlikely",IF(H50&lt;25.1,"unlikely",IF(H50&lt;75,"possible",IF(H50&lt;95,"likely",IF(H50&lt;99.5,"very likely","most likely"))))))</f>
        <v>unlikely</v>
      </c>
      <c r="I51" s="57"/>
      <c r="J51" s="57"/>
      <c r="K51" s="56"/>
      <c r="L51" s="56"/>
      <c r="M51" s="180"/>
      <c r="N51" s="56"/>
      <c r="O51" s="56"/>
      <c r="P51" s="56"/>
      <c r="Q51" s="54"/>
      <c r="R51" s="54"/>
      <c r="S51" s="23" t="str">
        <f>IF(S50&lt;0.505,"most unlikely",IF(S50&lt;5.01,"very unlikely",IF(S50&lt;25.01,"unlikely",IF(S50&lt;74.99,"possible",IF(S50&lt;94.99,"likely",IF(S50&lt;99.49,"very likely","most likely"))))))</f>
        <v>most unlikely</v>
      </c>
      <c r="T51" s="23" t="str">
        <f>IF(T50&lt;0.505,"most unlikely",IF(T50&lt;5.01,"very unlikely",IF(T50&lt;24.99,"unlikely",IF(T50&lt;74.99,"possible",IF(T50&lt;94.99,"likely",IF(T50&lt;99.49,"very likely","most likely"))))))</f>
        <v>possible</v>
      </c>
      <c r="U51" s="56"/>
      <c r="V51" s="164" t="str">
        <f aca="true" t="shared" si="3" ref="V51:AA51">IF(V50&lt;0.5,"most unlikely",IF(V50&lt;5,"very unlikely",IF(V50&lt;25,"unlikely",IF(V50&lt;75,"possible",IF(V50&lt;95,"likely",IF(V50&lt;99.5,"very likely","most likely"))))))</f>
        <v>unlikely</v>
      </c>
      <c r="W51" s="164" t="str">
        <f t="shared" si="3"/>
        <v>very unlikely</v>
      </c>
      <c r="X51" s="164" t="str">
        <f t="shared" si="3"/>
        <v>likely</v>
      </c>
      <c r="Y51" s="164" t="str">
        <f t="shared" si="3"/>
        <v>unlikely</v>
      </c>
      <c r="Z51" s="164" t="str">
        <f t="shared" si="3"/>
        <v>very unlikely</v>
      </c>
      <c r="AA51" s="164" t="str">
        <f t="shared" si="3"/>
        <v>most unlikely</v>
      </c>
      <c r="AB51" s="52"/>
      <c r="AC51" s="73"/>
      <c r="AD51" s="9"/>
      <c r="AE51" s="9"/>
      <c r="AF51" s="175"/>
    </row>
    <row r="52" spans="1:39" s="7" customFormat="1" ht="6" customHeight="1">
      <c r="A52" s="73"/>
      <c r="B52" s="52"/>
      <c r="C52" s="52"/>
      <c r="D52" s="52"/>
      <c r="E52" s="52"/>
      <c r="F52" s="52"/>
      <c r="G52" s="52"/>
      <c r="H52" s="52"/>
      <c r="I52" s="52"/>
      <c r="J52" s="52"/>
      <c r="K52" s="52"/>
      <c r="L52" s="52"/>
      <c r="M52" s="52"/>
      <c r="N52" s="52"/>
      <c r="O52" s="52"/>
      <c r="P52" s="52"/>
      <c r="Q52" s="52"/>
      <c r="R52" s="52"/>
      <c r="S52" s="52"/>
      <c r="T52" s="52"/>
      <c r="U52" s="52"/>
      <c r="V52" s="52"/>
      <c r="W52" s="61"/>
      <c r="X52" s="61"/>
      <c r="Y52" s="61"/>
      <c r="Z52" s="61"/>
      <c r="AA52" s="61"/>
      <c r="AB52" s="52"/>
      <c r="AC52" s="73"/>
      <c r="AD52" s="193"/>
      <c r="AE52" s="193"/>
      <c r="AF52" s="9"/>
      <c r="AG52" s="9"/>
      <c r="AH52" s="9"/>
      <c r="AI52" s="9"/>
      <c r="AJ52" s="9"/>
      <c r="AK52" s="9"/>
      <c r="AL52" s="9"/>
      <c r="AM52" s="9"/>
    </row>
    <row r="53" spans="1:39" s="7" customFormat="1" ht="12.75" customHeight="1">
      <c r="A53" s="73"/>
      <c r="B53" s="220" t="s">
        <v>101</v>
      </c>
      <c r="C53" s="222"/>
      <c r="D53" s="222"/>
      <c r="E53" s="222"/>
      <c r="F53" s="222"/>
      <c r="G53" s="232"/>
      <c r="H53" s="232"/>
      <c r="I53" s="222"/>
      <c r="J53" s="222"/>
      <c r="K53" s="222"/>
      <c r="L53" s="222"/>
      <c r="M53" s="222"/>
      <c r="N53" s="222"/>
      <c r="O53" s="222"/>
      <c r="P53" s="222"/>
      <c r="Q53" s="222"/>
      <c r="R53" s="222"/>
      <c r="S53" s="222"/>
      <c r="T53" s="222"/>
      <c r="U53" s="222"/>
      <c r="V53" s="222"/>
      <c r="W53" s="238"/>
      <c r="X53" s="238"/>
      <c r="Y53" s="238"/>
      <c r="Z53" s="238"/>
      <c r="AA53" s="238"/>
      <c r="AB53" s="222"/>
      <c r="AC53" s="73"/>
      <c r="AD53" s="193"/>
      <c r="AE53" s="193"/>
      <c r="AF53" s="9"/>
      <c r="AG53" s="9"/>
      <c r="AH53" s="9"/>
      <c r="AI53" s="9"/>
      <c r="AJ53" s="9"/>
      <c r="AK53" s="9"/>
      <c r="AL53" s="9"/>
      <c r="AM53" s="9"/>
    </row>
    <row r="54" spans="1:39" s="7" customFormat="1" ht="6" customHeight="1">
      <c r="A54" s="73"/>
      <c r="B54" s="220"/>
      <c r="C54" s="222"/>
      <c r="D54" s="222"/>
      <c r="E54" s="222"/>
      <c r="F54" s="222"/>
      <c r="G54" s="232"/>
      <c r="H54" s="232"/>
      <c r="I54" s="222"/>
      <c r="J54" s="222"/>
      <c r="K54" s="222"/>
      <c r="L54" s="222"/>
      <c r="M54" s="222"/>
      <c r="N54" s="222"/>
      <c r="O54" s="222"/>
      <c r="P54" s="222"/>
      <c r="Q54" s="222"/>
      <c r="R54" s="222"/>
      <c r="S54" s="222"/>
      <c r="T54" s="222"/>
      <c r="U54" s="222"/>
      <c r="V54" s="222"/>
      <c r="W54" s="238"/>
      <c r="X54" s="238"/>
      <c r="Y54" s="238"/>
      <c r="Z54" s="238"/>
      <c r="AA54" s="238"/>
      <c r="AB54" s="222"/>
      <c r="AC54" s="73"/>
      <c r="AD54" s="193"/>
      <c r="AE54" s="193"/>
      <c r="AF54" s="9"/>
      <c r="AG54" s="9"/>
      <c r="AH54" s="9"/>
      <c r="AI54" s="9"/>
      <c r="AJ54" s="9"/>
      <c r="AK54" s="9"/>
      <c r="AL54" s="9"/>
      <c r="AM54" s="9"/>
    </row>
    <row r="55" spans="1:39" s="7" customFormat="1" ht="13.5" customHeight="1">
      <c r="A55" s="73"/>
      <c r="B55" s="220"/>
      <c r="C55" s="290" t="s">
        <v>95</v>
      </c>
      <c r="D55" s="291"/>
      <c r="E55" s="49">
        <v>10</v>
      </c>
      <c r="F55" s="224" t="s">
        <v>104</v>
      </c>
      <c r="G55" s="232"/>
      <c r="H55" s="232"/>
      <c r="I55" s="222"/>
      <c r="J55" s="222"/>
      <c r="K55" s="222"/>
      <c r="L55" s="222"/>
      <c r="M55" s="222"/>
      <c r="N55" s="222"/>
      <c r="O55" s="222"/>
      <c r="P55" s="222"/>
      <c r="Q55" s="222"/>
      <c r="R55" s="222"/>
      <c r="S55" s="222"/>
      <c r="T55" s="222"/>
      <c r="U55" s="222"/>
      <c r="V55" s="222"/>
      <c r="W55" s="238"/>
      <c r="X55" s="238"/>
      <c r="Y55" s="238"/>
      <c r="Z55" s="238"/>
      <c r="AA55" s="238"/>
      <c r="AB55" s="222"/>
      <c r="AC55" s="73"/>
      <c r="AD55" s="193"/>
      <c r="AE55" s="193"/>
      <c r="AF55" s="9"/>
      <c r="AG55" s="9"/>
      <c r="AH55" s="9"/>
      <c r="AI55" s="9"/>
      <c r="AJ55" s="9"/>
      <c r="AK55" s="9"/>
      <c r="AL55" s="9"/>
      <c r="AM55" s="9"/>
    </row>
    <row r="56" spans="1:39" s="7" customFormat="1" ht="12" customHeight="1">
      <c r="A56" s="73"/>
      <c r="B56" s="220"/>
      <c r="C56" s="292"/>
      <c r="D56" s="293"/>
      <c r="E56" s="233"/>
      <c r="F56" s="222"/>
      <c r="G56" s="232"/>
      <c r="H56" s="232"/>
      <c r="I56" s="222"/>
      <c r="J56" s="222"/>
      <c r="K56" s="222"/>
      <c r="L56" s="222"/>
      <c r="M56" s="222"/>
      <c r="N56" s="222"/>
      <c r="O56" s="222"/>
      <c r="P56" s="222"/>
      <c r="Q56" s="222"/>
      <c r="R56" s="222"/>
      <c r="S56" s="222"/>
      <c r="T56" s="222"/>
      <c r="U56" s="222"/>
      <c r="V56" s="222"/>
      <c r="W56" s="238"/>
      <c r="X56" s="238"/>
      <c r="Y56" s="238"/>
      <c r="Z56" s="238"/>
      <c r="AA56" s="238"/>
      <c r="AB56" s="222"/>
      <c r="AC56" s="73"/>
      <c r="AD56" s="193"/>
      <c r="AE56" s="193"/>
      <c r="AF56" s="9"/>
      <c r="AG56" s="9"/>
      <c r="AH56" s="9"/>
      <c r="AI56" s="9"/>
      <c r="AJ56" s="9"/>
      <c r="AK56" s="9"/>
      <c r="AL56" s="9"/>
      <c r="AM56" s="9"/>
    </row>
    <row r="57" spans="1:39" s="7" customFormat="1" ht="15" customHeight="1">
      <c r="A57" s="73"/>
      <c r="B57" s="220"/>
      <c r="C57" s="233"/>
      <c r="D57" s="233"/>
      <c r="E57" s="283" t="s">
        <v>103</v>
      </c>
      <c r="F57" s="282" t="s">
        <v>85</v>
      </c>
      <c r="G57" s="234"/>
      <c r="H57" s="234"/>
      <c r="I57" s="225"/>
      <c r="J57" s="225"/>
      <c r="K57" s="225"/>
      <c r="L57" s="225"/>
      <c r="M57" s="222" t="s">
        <v>43</v>
      </c>
      <c r="N57" s="225"/>
      <c r="O57" s="225"/>
      <c r="P57" s="225"/>
      <c r="Q57" s="225"/>
      <c r="R57" s="225"/>
      <c r="S57" s="225"/>
      <c r="T57" s="225"/>
      <c r="U57" s="225"/>
      <c r="V57" s="319" t="s">
        <v>67</v>
      </c>
      <c r="W57" s="320"/>
      <c r="X57" s="320"/>
      <c r="Y57" s="320"/>
      <c r="Z57" s="320"/>
      <c r="AA57" s="321"/>
      <c r="AB57" s="225"/>
      <c r="AC57" s="131"/>
      <c r="AD57" s="310" t="s">
        <v>58</v>
      </c>
      <c r="AE57" s="311"/>
      <c r="AF57" s="174"/>
      <c r="AG57" s="9"/>
      <c r="AH57" s="9"/>
      <c r="AI57" s="9"/>
      <c r="AJ57" s="9"/>
      <c r="AK57" s="12"/>
      <c r="AL57" s="9"/>
      <c r="AM57" s="9"/>
    </row>
    <row r="58" spans="1:39" ht="12.75" customHeight="1">
      <c r="A58" s="138"/>
      <c r="B58" s="221"/>
      <c r="C58" s="282" t="s">
        <v>99</v>
      </c>
      <c r="D58" s="296" t="s">
        <v>73</v>
      </c>
      <c r="E58" s="284"/>
      <c r="F58" s="282"/>
      <c r="G58" s="286" t="s">
        <v>44</v>
      </c>
      <c r="H58" s="287"/>
      <c r="I58" s="301" t="s">
        <v>10</v>
      </c>
      <c r="J58" s="301"/>
      <c r="K58" s="301"/>
      <c r="L58" s="221"/>
      <c r="M58" s="302" t="s">
        <v>74</v>
      </c>
      <c r="N58" s="236"/>
      <c r="O58" s="221"/>
      <c r="P58" s="221"/>
      <c r="Q58" s="332" t="s">
        <v>106</v>
      </c>
      <c r="R58" s="332" t="s">
        <v>107</v>
      </c>
      <c r="S58" s="221"/>
      <c r="T58" s="222"/>
      <c r="U58" s="221"/>
      <c r="V58" s="322" t="s">
        <v>61</v>
      </c>
      <c r="W58" s="314" t="s">
        <v>68</v>
      </c>
      <c r="X58" s="315"/>
      <c r="Y58" s="315"/>
      <c r="Z58" s="315"/>
      <c r="AA58" s="316"/>
      <c r="AB58" s="221"/>
      <c r="AC58" s="138"/>
      <c r="AD58" s="312"/>
      <c r="AE58" s="313"/>
      <c r="AF58" s="297" t="s">
        <v>7</v>
      </c>
      <c r="AK58" s="9"/>
      <c r="AL58" s="9"/>
      <c r="AM58" s="9"/>
    </row>
    <row r="59" spans="1:39" s="7" customFormat="1" ht="12.75" customHeight="1">
      <c r="A59" s="73"/>
      <c r="B59" s="222"/>
      <c r="C59" s="282"/>
      <c r="D59" s="296"/>
      <c r="E59" s="284"/>
      <c r="F59" s="282"/>
      <c r="G59" s="288"/>
      <c r="H59" s="289"/>
      <c r="I59" s="294" t="s">
        <v>31</v>
      </c>
      <c r="J59" s="300" t="s">
        <v>81</v>
      </c>
      <c r="K59" s="300"/>
      <c r="L59" s="225"/>
      <c r="M59" s="303"/>
      <c r="N59" s="137">
        <f>$N$19</f>
        <v>90</v>
      </c>
      <c r="O59" s="307" t="s">
        <v>11</v>
      </c>
      <c r="P59" s="308"/>
      <c r="Q59" s="344"/>
      <c r="R59" s="333"/>
      <c r="S59" s="338" t="s">
        <v>46</v>
      </c>
      <c r="T59" s="339"/>
      <c r="U59" s="225"/>
      <c r="V59" s="347"/>
      <c r="W59" s="322" t="s">
        <v>54</v>
      </c>
      <c r="X59" s="322" t="s">
        <v>57</v>
      </c>
      <c r="Y59" s="345" t="s">
        <v>62</v>
      </c>
      <c r="Z59" s="345" t="s">
        <v>59</v>
      </c>
      <c r="AA59" s="345" t="s">
        <v>60</v>
      </c>
      <c r="AB59" s="224"/>
      <c r="AC59" s="134"/>
      <c r="AD59" s="317" t="s">
        <v>55</v>
      </c>
      <c r="AE59" s="317" t="s">
        <v>56</v>
      </c>
      <c r="AF59" s="298"/>
      <c r="AG59" s="9"/>
      <c r="AH59" s="9"/>
      <c r="AI59" s="9"/>
      <c r="AJ59" s="9"/>
      <c r="AK59" s="12"/>
      <c r="AL59" s="9"/>
      <c r="AM59" s="9"/>
    </row>
    <row r="60" spans="1:39" s="7" customFormat="1" ht="12.75" customHeight="1">
      <c r="A60" s="73"/>
      <c r="B60" s="222"/>
      <c r="C60" s="282"/>
      <c r="D60" s="296"/>
      <c r="E60" s="285"/>
      <c r="F60" s="282"/>
      <c r="G60" s="74" t="s">
        <v>12</v>
      </c>
      <c r="H60" s="62" t="s">
        <v>13</v>
      </c>
      <c r="I60" s="295"/>
      <c r="J60" s="22" t="s">
        <v>82</v>
      </c>
      <c r="K60" s="22" t="s">
        <v>83</v>
      </c>
      <c r="L60" s="225"/>
      <c r="M60" s="303"/>
      <c r="N60" s="22" t="s">
        <v>14</v>
      </c>
      <c r="O60" s="22" t="s">
        <v>15</v>
      </c>
      <c r="P60" s="22" t="s">
        <v>16</v>
      </c>
      <c r="Q60" s="340"/>
      <c r="R60" s="340"/>
      <c r="S60" s="29" t="s">
        <v>17</v>
      </c>
      <c r="T60" s="29" t="s">
        <v>18</v>
      </c>
      <c r="U60" s="225"/>
      <c r="V60" s="323"/>
      <c r="W60" s="323"/>
      <c r="X60" s="323"/>
      <c r="Y60" s="346"/>
      <c r="Z60" s="346"/>
      <c r="AA60" s="346"/>
      <c r="AB60" s="225"/>
      <c r="AC60" s="131"/>
      <c r="AD60" s="318"/>
      <c r="AE60" s="318"/>
      <c r="AF60" s="299"/>
      <c r="AG60" s="9"/>
      <c r="AH60" s="9"/>
      <c r="AI60" s="9"/>
      <c r="AJ60" s="178"/>
      <c r="AK60" s="178"/>
      <c r="AL60" s="178"/>
      <c r="AM60" s="12"/>
    </row>
    <row r="61" spans="1:39" s="7" customFormat="1" ht="13.5" customHeight="1">
      <c r="A61" s="73"/>
      <c r="B61" s="222"/>
      <c r="C61" s="21">
        <v>1.1</v>
      </c>
      <c r="D61" s="20">
        <f>1/C61</f>
        <v>0.9090909090909091</v>
      </c>
      <c r="E61" s="215">
        <v>4</v>
      </c>
      <c r="F61" s="49">
        <v>50</v>
      </c>
      <c r="G61" s="125">
        <f>$G$19</f>
        <v>0.5</v>
      </c>
      <c r="H61" s="125">
        <f>$H$19</f>
        <v>25</v>
      </c>
      <c r="I61" s="25">
        <f>AF61*((NORMSINV(1-G61/100)+NORMSINV(1-H61/100))/(LN(D61)-LN(C61)))^2</f>
        <v>173.30174189403806</v>
      </c>
      <c r="J61" s="24">
        <f>F61/100*I61</f>
        <v>86.65087094701903</v>
      </c>
      <c r="K61" s="24">
        <f>I61-J61</f>
        <v>86.65087094701903</v>
      </c>
      <c r="L61" s="230"/>
      <c r="M61" s="20">
        <f>EXP((LN(D61)*NORMSINV(1-G61/100)+LN(C61)*NORMSINV(1-H61/100))/(NORMSINV(1-G61/100)+NORMSINV(1-H61/100)))</f>
        <v>0.9457721377851109</v>
      </c>
      <c r="N61" s="28">
        <f>M61-SQRT(AF61/I61)*TINV(1-N59/100,I61-2)</f>
        <v>0.8487815084765448</v>
      </c>
      <c r="O61" s="28">
        <f>M61+SQRT(AF61/I61)*TINV(1-N59/100,I61-2)</f>
        <v>1.0427627670936772</v>
      </c>
      <c r="P61" s="28">
        <f>(O61-N61)/2</f>
        <v>0.09699062930856622</v>
      </c>
      <c r="Q61" s="20">
        <f>C61</f>
        <v>1.1</v>
      </c>
      <c r="R61" s="20">
        <f>D61</f>
        <v>0.9090909090909091</v>
      </c>
      <c r="S61" s="196">
        <f>NORMSDIST(-IF(LN(R61)&gt;LN(Q61),1,-1)*(LN(M61)-LN(Q61))/SQRT(AF61/I61))*100</f>
        <v>0.49999999999999967</v>
      </c>
      <c r="T61" s="24">
        <f>NORMSDIST(-IF(LN(R61)&gt;LN(Q61),1,-1)*(LN(R61)-LN(M61))/SQRT(AF61/I61))*100</f>
        <v>25.000000000000007</v>
      </c>
      <c r="U61" s="230"/>
      <c r="V61" s="24">
        <f>MIN(AD61,AE61)</f>
        <v>17.088601761553463</v>
      </c>
      <c r="W61" s="24">
        <f>IF(100*(1-2*(1-NORMSDIST(-NORMSINV((1-N59/100)/2)-ABS(LN(C61))/SQRT(AF61/I61))))&lt;0,0,100*(1-2*(1-NORMSDIST(-NORMSINV((1-N59/100)/2)-ABS(LN(C61))/SQRT(AF61/I61)))))</f>
        <v>1.5712602676690945</v>
      </c>
      <c r="X61" s="24">
        <f>100-W61-Y61</f>
        <v>88.0158825520718</v>
      </c>
      <c r="Y61" s="24">
        <f>100*2*(1-NORMSDIST(IF(-NORMSINV((1-N59/100)/2)&gt;2*ABS(LN(C61))/SQRT(AF61/I61),-NORMSINV((1-N59/100)/2)-ABS(LN(C61))/SQRT(AF61/I61),ABS(LN(C61))/SQRT(AF61/I61))))</f>
        <v>10.412857180259106</v>
      </c>
      <c r="Z61" s="196">
        <f>IF(100*2*(1-NORMSDIST(-NORMSINV((1-50/100)/2)+ABS(LN(C61))/SQRT(AF61/I61)))&gt;Y61,Y61,100*2*(1-NORMSDIST(-NORMSINV((1-50/100)/2)+ABS(LN(C61))/SQRT(AF61/I61))))</f>
        <v>2.1468097942677344</v>
      </c>
      <c r="AA61" s="196">
        <f>100*2*(1-NORMSDIST(-NORMSINV((1-N59/100)/2)+ABS(LN(C61))/SQRT(AF61/I61)))</f>
        <v>0.10754248345621331</v>
      </c>
      <c r="AB61" s="230"/>
      <c r="AC61" s="147"/>
      <c r="AD61" s="192">
        <f>100-100*NORMSDIST(ABS(LN(D61))/SQRT(AF61/I61)-NORMSINV(1-H61/100))</f>
        <v>17.088601761553463</v>
      </c>
      <c r="AE61" s="192">
        <f>100-100*NORMSDIST(NORMSINV(1-G61/100)-ABS(LN(C61))/SQRT(AF61/I61))</f>
        <v>17.088601761553463</v>
      </c>
      <c r="AF61" s="246">
        <f>(1+1/SQRT(E55))*(LN(1+E61/E55))^2/(F61/100*(1-F61/100))</f>
        <v>0.5960593563247989</v>
      </c>
      <c r="AG61" s="9"/>
      <c r="AH61" s="9"/>
      <c r="AI61" s="9"/>
      <c r="AJ61" s="140"/>
      <c r="AK61" s="140"/>
      <c r="AL61" s="140"/>
      <c r="AM61" s="9"/>
    </row>
    <row r="62" spans="1:32" ht="12.75" customHeight="1">
      <c r="A62" s="138"/>
      <c r="B62" s="221"/>
      <c r="C62" s="229"/>
      <c r="D62" s="229"/>
      <c r="E62" s="229"/>
      <c r="F62" s="221"/>
      <c r="G62" s="23" t="str">
        <f>IF(G61&lt;=0.1,"negligible",IF(G61&lt;=0.5,"most unlikely",IF(G61&lt;=5,"very unlikely",IF(G61&lt;=25,"unlikely",IF(G61&lt;=50,"possible","not computed")))))</f>
        <v>most unlikely</v>
      </c>
      <c r="H62" s="23" t="str">
        <f>IF(H61&lt;0.505,"most unlikely",IF(H61&lt;5.01,"very unlikely",IF(H61&lt;25.1,"unlikely",IF(H61&lt;75,"possible",IF(H61&lt;95,"likely",IF(H61&lt;99.5,"very likely","most likely"))))))</f>
        <v>unlikely</v>
      </c>
      <c r="I62" s="235"/>
      <c r="J62" s="237"/>
      <c r="K62" s="221"/>
      <c r="L62" s="221"/>
      <c r="M62" s="236"/>
      <c r="N62" s="221"/>
      <c r="O62" s="221"/>
      <c r="P62" s="221"/>
      <c r="Q62" s="225"/>
      <c r="R62" s="225"/>
      <c r="S62" s="23" t="str">
        <f>IF(S61&lt;0.505,"most unlikely",IF(S61&lt;5.01,"very unlikely",IF(S61&lt;25.01,"unlikely",IF(S61&lt;74.99,"possible",IF(S61&lt;94.99,"likely",IF(S61&lt;99.49,"very likely","most likely"))))))</f>
        <v>most unlikely</v>
      </c>
      <c r="T62" s="23" t="str">
        <f>IF(T61&lt;0.505,"most unlikely",IF(T61&lt;5.01,"very unlikely",IF(T61&lt;24.99,"unlikely",IF(T61&lt;74.99,"possible",IF(T61&lt;94.99,"likely",IF(T61&lt;99.49,"very likely","most likely"))))))</f>
        <v>possible</v>
      </c>
      <c r="U62" s="221"/>
      <c r="V62" s="164" t="str">
        <f aca="true" t="shared" si="4" ref="V62:AA62">IF(V61&lt;0.5,"most unlikely",IF(V61&lt;5,"very unlikely",IF(V61&lt;25,"unlikely",IF(V61&lt;75,"possible",IF(V61&lt;95,"likely",IF(V61&lt;99.5,"very likely","most likely"))))))</f>
        <v>unlikely</v>
      </c>
      <c r="W62" s="164" t="str">
        <f t="shared" si="4"/>
        <v>very unlikely</v>
      </c>
      <c r="X62" s="164" t="str">
        <f t="shared" si="4"/>
        <v>likely</v>
      </c>
      <c r="Y62" s="164" t="str">
        <f t="shared" si="4"/>
        <v>unlikely</v>
      </c>
      <c r="Z62" s="164" t="str">
        <f t="shared" si="4"/>
        <v>very unlikely</v>
      </c>
      <c r="AA62" s="164" t="str">
        <f t="shared" si="4"/>
        <v>most unlikely</v>
      </c>
      <c r="AB62" s="221"/>
      <c r="AC62" s="138"/>
      <c r="AD62" s="9"/>
      <c r="AE62" s="9"/>
      <c r="AF62" s="175"/>
    </row>
    <row r="63" spans="1:39" s="7" customFormat="1" ht="6.75" customHeight="1">
      <c r="A63" s="73"/>
      <c r="B63" s="222"/>
      <c r="C63" s="222"/>
      <c r="D63" s="222"/>
      <c r="E63" s="222"/>
      <c r="F63" s="222"/>
      <c r="G63" s="232"/>
      <c r="H63" s="232"/>
      <c r="I63" s="222"/>
      <c r="J63" s="222"/>
      <c r="K63" s="222"/>
      <c r="L63" s="222"/>
      <c r="M63" s="222"/>
      <c r="N63" s="222"/>
      <c r="O63" s="222"/>
      <c r="P63" s="222"/>
      <c r="Q63" s="222"/>
      <c r="R63" s="222"/>
      <c r="S63" s="222"/>
      <c r="T63" s="222"/>
      <c r="U63" s="222"/>
      <c r="V63" s="222"/>
      <c r="W63" s="238"/>
      <c r="X63" s="238"/>
      <c r="Y63" s="238"/>
      <c r="Z63" s="238"/>
      <c r="AA63" s="238"/>
      <c r="AB63" s="222"/>
      <c r="AC63" s="73"/>
      <c r="AD63" s="193"/>
      <c r="AE63" s="193"/>
      <c r="AF63" s="9"/>
      <c r="AG63" s="9"/>
      <c r="AH63" s="9"/>
      <c r="AI63" s="9"/>
      <c r="AJ63" s="9"/>
      <c r="AK63" s="9"/>
      <c r="AL63" s="9"/>
      <c r="AM63" s="9"/>
    </row>
    <row r="64" spans="1:32" ht="12.75" customHeight="1">
      <c r="A64" s="138"/>
      <c r="B64" s="76" t="s">
        <v>109</v>
      </c>
      <c r="C64" s="77"/>
      <c r="D64" s="77"/>
      <c r="E64" s="77"/>
      <c r="F64" s="77"/>
      <c r="G64" s="83"/>
      <c r="H64" s="83"/>
      <c r="I64" s="77"/>
      <c r="J64" s="77"/>
      <c r="K64" s="77"/>
      <c r="L64" s="77"/>
      <c r="M64" s="77"/>
      <c r="N64" s="82"/>
      <c r="O64" s="82"/>
      <c r="P64" s="82"/>
      <c r="Q64" s="82"/>
      <c r="R64" s="82"/>
      <c r="S64" s="77"/>
      <c r="T64" s="79"/>
      <c r="U64" s="77"/>
      <c r="V64" s="77"/>
      <c r="W64" s="77"/>
      <c r="X64" s="77"/>
      <c r="Y64" s="77"/>
      <c r="Z64" s="77"/>
      <c r="AA64" s="77"/>
      <c r="AB64" s="79"/>
      <c r="AC64" s="73"/>
      <c r="AF64" s="177"/>
    </row>
    <row r="65" spans="1:32" ht="5.25" customHeight="1">
      <c r="A65" s="138"/>
      <c r="B65" s="76"/>
      <c r="C65" s="77"/>
      <c r="D65" s="77"/>
      <c r="E65" s="77"/>
      <c r="F65" s="77"/>
      <c r="G65" s="83"/>
      <c r="H65" s="83"/>
      <c r="I65" s="77"/>
      <c r="J65" s="77"/>
      <c r="K65" s="77"/>
      <c r="L65" s="77"/>
      <c r="M65" s="77"/>
      <c r="N65" s="82"/>
      <c r="O65" s="82"/>
      <c r="P65" s="82"/>
      <c r="Q65" s="82"/>
      <c r="R65" s="82"/>
      <c r="S65" s="77"/>
      <c r="T65" s="79"/>
      <c r="U65" s="77"/>
      <c r="V65" s="77"/>
      <c r="W65" s="77"/>
      <c r="X65" s="77"/>
      <c r="Y65" s="77"/>
      <c r="Z65" s="77"/>
      <c r="AA65" s="77"/>
      <c r="AB65" s="79"/>
      <c r="AC65" s="73"/>
      <c r="AF65" s="177"/>
    </row>
    <row r="66" spans="1:32" ht="12" customHeight="1">
      <c r="A66" s="138"/>
      <c r="B66" s="76"/>
      <c r="C66" s="282" t="s">
        <v>79</v>
      </c>
      <c r="D66" s="282" t="s">
        <v>80</v>
      </c>
      <c r="E66" s="283" t="s">
        <v>84</v>
      </c>
      <c r="F66" s="77"/>
      <c r="G66" s="83"/>
      <c r="H66" s="355" t="s">
        <v>91</v>
      </c>
      <c r="I66" s="62" t="s">
        <v>93</v>
      </c>
      <c r="J66" s="62" t="s">
        <v>92</v>
      </c>
      <c r="K66" s="77"/>
      <c r="L66" s="77"/>
      <c r="M66" s="77"/>
      <c r="N66" s="82"/>
      <c r="O66" s="82"/>
      <c r="P66" s="82"/>
      <c r="Q66" s="82"/>
      <c r="R66" s="82"/>
      <c r="S66" s="77"/>
      <c r="T66" s="79"/>
      <c r="U66" s="77"/>
      <c r="V66" s="77"/>
      <c r="W66" s="77"/>
      <c r="X66" s="77"/>
      <c r="Y66" s="77"/>
      <c r="Z66" s="77"/>
      <c r="AA66" s="77"/>
      <c r="AB66" s="79"/>
      <c r="AC66" s="73"/>
      <c r="AF66" s="177"/>
    </row>
    <row r="67" spans="1:32" ht="12" customHeight="1">
      <c r="A67" s="138"/>
      <c r="B67" s="76"/>
      <c r="C67" s="282"/>
      <c r="D67" s="282"/>
      <c r="E67" s="284"/>
      <c r="F67" s="283" t="s">
        <v>85</v>
      </c>
      <c r="G67" s="83"/>
      <c r="H67" s="356"/>
      <c r="I67" s="244">
        <f>IF(ISNUMBER(C72),(E72+C72)/(100-E72-C72)/((E72)/(100-E72)),IF(ISNUMBER(C71),C71,IF(ISNUMBER(C70),(1-(1-E72/100)^C70)/(1-E72/100)^C70/(E72/(100-E72)),IF(ISNUMBER(C69),C69*(1-E72/100)/(1-C69*E72/100),""))))</f>
        <v>1.2471910112359552</v>
      </c>
      <c r="J67" s="244">
        <f>IF(ISNUMBER(D72),(E72+D72)/(100-E72-D72)/((E72)/(100-E72)),IF(ISNUMBER(D71),D71,IF(ISNUMBER(D70),(1-(1-E72/100)^D70)/(1-E72/100)^D70/(E72/(100-E72)),IF(ISNUMBER(D69),D69*(1-E72/100)/(1-D69*E72/100),""))))</f>
        <v>0.819672131147541</v>
      </c>
      <c r="K67" s="77"/>
      <c r="L67" s="77"/>
      <c r="M67" s="77"/>
      <c r="N67" s="82"/>
      <c r="O67" s="82"/>
      <c r="P67" s="82"/>
      <c r="Q67" s="82"/>
      <c r="R67" s="82"/>
      <c r="S67" s="77"/>
      <c r="T67" s="79"/>
      <c r="U67" s="77"/>
      <c r="V67" s="77"/>
      <c r="W67" s="77"/>
      <c r="X67" s="77"/>
      <c r="Y67" s="77"/>
      <c r="Z67" s="77"/>
      <c r="AA67" s="77"/>
      <c r="AB67" s="79"/>
      <c r="AC67" s="73"/>
      <c r="AF67" s="177"/>
    </row>
    <row r="68" spans="1:31" ht="12" customHeight="1">
      <c r="A68" s="138"/>
      <c r="B68" s="76"/>
      <c r="C68" s="282"/>
      <c r="D68" s="282"/>
      <c r="E68" s="284"/>
      <c r="F68" s="284"/>
      <c r="G68" s="77"/>
      <c r="H68" s="77"/>
      <c r="I68" s="77"/>
      <c r="J68" s="77"/>
      <c r="K68" s="77"/>
      <c r="L68" s="77"/>
      <c r="M68" s="77" t="s">
        <v>43</v>
      </c>
      <c r="N68" s="77"/>
      <c r="O68" s="77"/>
      <c r="P68" s="77"/>
      <c r="Q68" s="77"/>
      <c r="R68" s="79"/>
      <c r="S68" s="79"/>
      <c r="T68" s="77"/>
      <c r="U68" s="77"/>
      <c r="V68" s="319" t="s">
        <v>67</v>
      </c>
      <c r="W68" s="320"/>
      <c r="X68" s="320"/>
      <c r="Y68" s="320"/>
      <c r="Z68" s="320"/>
      <c r="AA68" s="321"/>
      <c r="AB68" s="77"/>
      <c r="AC68" s="138"/>
      <c r="AD68" s="310" t="s">
        <v>58</v>
      </c>
      <c r="AE68" s="311"/>
    </row>
    <row r="69" spans="1:32" ht="13.5" customHeight="1">
      <c r="A69" s="138"/>
      <c r="B69" s="242" t="s">
        <v>78</v>
      </c>
      <c r="C69" s="240">
        <v>1.11</v>
      </c>
      <c r="D69" s="20">
        <f>IF(ISNUMBER(C69),1/C69,"")</f>
        <v>0.9009009009009008</v>
      </c>
      <c r="E69" s="284"/>
      <c r="F69" s="284"/>
      <c r="G69" s="286" t="s">
        <v>44</v>
      </c>
      <c r="H69" s="287"/>
      <c r="I69" s="301" t="s">
        <v>10</v>
      </c>
      <c r="J69" s="301"/>
      <c r="K69" s="301"/>
      <c r="L69" s="80"/>
      <c r="M69" s="302" t="s">
        <v>88</v>
      </c>
      <c r="N69" s="80"/>
      <c r="O69" s="80"/>
      <c r="P69" s="80"/>
      <c r="Q69" s="332" t="s">
        <v>89</v>
      </c>
      <c r="R69" s="332" t="s">
        <v>90</v>
      </c>
      <c r="S69" s="77"/>
      <c r="T69" s="79"/>
      <c r="U69" s="80"/>
      <c r="V69" s="322" t="s">
        <v>61</v>
      </c>
      <c r="W69" s="314" t="s">
        <v>68</v>
      </c>
      <c r="X69" s="315"/>
      <c r="Y69" s="315"/>
      <c r="Z69" s="315"/>
      <c r="AA69" s="316"/>
      <c r="AB69" s="79"/>
      <c r="AC69" s="73"/>
      <c r="AD69" s="312"/>
      <c r="AE69" s="313"/>
      <c r="AF69" s="297" t="s">
        <v>7</v>
      </c>
    </row>
    <row r="70" spans="1:32" ht="13.5" customHeight="1">
      <c r="A70" s="138"/>
      <c r="B70" s="241" t="s">
        <v>76</v>
      </c>
      <c r="C70" s="240"/>
      <c r="D70" s="20">
        <f>IF(ISNUMBER(C70),1/C70,"")</f>
      </c>
      <c r="E70" s="284"/>
      <c r="F70" s="284"/>
      <c r="G70" s="288"/>
      <c r="H70" s="289"/>
      <c r="I70" s="294" t="s">
        <v>31</v>
      </c>
      <c r="J70" s="300" t="s">
        <v>81</v>
      </c>
      <c r="K70" s="300"/>
      <c r="L70" s="80"/>
      <c r="M70" s="303"/>
      <c r="N70" s="137">
        <f>$N$19</f>
        <v>90</v>
      </c>
      <c r="O70" s="307" t="s">
        <v>11</v>
      </c>
      <c r="P70" s="308"/>
      <c r="Q70" s="344"/>
      <c r="R70" s="333"/>
      <c r="S70" s="338" t="s">
        <v>46</v>
      </c>
      <c r="T70" s="339"/>
      <c r="U70" s="80"/>
      <c r="V70" s="347"/>
      <c r="W70" s="322" t="s">
        <v>54</v>
      </c>
      <c r="X70" s="322" t="s">
        <v>57</v>
      </c>
      <c r="Y70" s="345" t="s">
        <v>62</v>
      </c>
      <c r="Z70" s="345" t="s">
        <v>59</v>
      </c>
      <c r="AA70" s="345" t="s">
        <v>60</v>
      </c>
      <c r="AB70" s="77"/>
      <c r="AC70" s="138"/>
      <c r="AD70" s="317" t="s">
        <v>55</v>
      </c>
      <c r="AE70" s="317" t="s">
        <v>56</v>
      </c>
      <c r="AF70" s="298"/>
    </row>
    <row r="71" spans="1:32" ht="13.5" customHeight="1">
      <c r="A71" s="138"/>
      <c r="B71" s="241" t="s">
        <v>77</v>
      </c>
      <c r="C71" s="240"/>
      <c r="D71" s="20">
        <f>IF(ISNUMBER(C71),1/C71,"")</f>
      </c>
      <c r="E71" s="285"/>
      <c r="F71" s="285"/>
      <c r="G71" s="74" t="s">
        <v>12</v>
      </c>
      <c r="H71" s="62" t="s">
        <v>13</v>
      </c>
      <c r="I71" s="295"/>
      <c r="J71" s="22" t="s">
        <v>82</v>
      </c>
      <c r="K71" s="22" t="s">
        <v>83</v>
      </c>
      <c r="L71" s="80"/>
      <c r="M71" s="303"/>
      <c r="N71" s="22" t="s">
        <v>14</v>
      </c>
      <c r="O71" s="22" t="s">
        <v>15</v>
      </c>
      <c r="P71" s="22" t="s">
        <v>69</v>
      </c>
      <c r="Q71" s="340"/>
      <c r="R71" s="340"/>
      <c r="S71" s="29" t="s">
        <v>17</v>
      </c>
      <c r="T71" s="29" t="s">
        <v>18</v>
      </c>
      <c r="U71" s="80"/>
      <c r="V71" s="323"/>
      <c r="W71" s="323"/>
      <c r="X71" s="323"/>
      <c r="Y71" s="346"/>
      <c r="Z71" s="346"/>
      <c r="AA71" s="346"/>
      <c r="AB71" s="77"/>
      <c r="AC71" s="138"/>
      <c r="AD71" s="318"/>
      <c r="AE71" s="318"/>
      <c r="AF71" s="299"/>
    </row>
    <row r="72" spans="1:32" ht="13.5" customHeight="1">
      <c r="A72" s="138"/>
      <c r="B72" s="239" t="s">
        <v>87</v>
      </c>
      <c r="C72" s="240"/>
      <c r="D72" s="125">
        <f>IF(ISNUMBER(C72),-C72,"")</f>
      </c>
      <c r="E72" s="49">
        <v>50</v>
      </c>
      <c r="F72" s="49">
        <v>50</v>
      </c>
      <c r="G72" s="125">
        <f>$G$19</f>
        <v>0.5</v>
      </c>
      <c r="H72" s="125">
        <f>$H$19</f>
        <v>25</v>
      </c>
      <c r="I72" s="25">
        <f>AF72*((NORMSINV(1-G72/100)+NORMSINV(1-H72/100))/(LN(J67)-LN(I67)))^2</f>
        <v>965.2795389081301</v>
      </c>
      <c r="J72" s="24">
        <f>F72/100*I72</f>
        <v>482.63976945406506</v>
      </c>
      <c r="K72" s="24">
        <f>I72-J72</f>
        <v>482.63976945406506</v>
      </c>
      <c r="L72" s="81"/>
      <c r="M72" s="20">
        <f>EXP((LN(J67)*NORMSINV(1-G72/100)+LN(I67)*NORMSINV(1-H72/100))/(NORMSINV(1-G72/100)+NORMSINV(1-H72/100)))</f>
        <v>0.8942699729556026</v>
      </c>
      <c r="N72" s="28">
        <f>EXP(LN(M72)+SQRT(AF72/I72)*NORMSINV((1-N70/100)/2))</f>
        <v>0.7231322187946533</v>
      </c>
      <c r="O72" s="28">
        <f>EXP(LN(M72)+SQRT(AF72/I72)*NORMSINV(1-(1-N70/100)/2))</f>
        <v>1.1059094917151093</v>
      </c>
      <c r="P72" s="28">
        <f>SQRT(O72/N72)</f>
        <v>1.2366617745869612</v>
      </c>
      <c r="Q72" s="20">
        <f>I67</f>
        <v>1.2471910112359552</v>
      </c>
      <c r="R72" s="20">
        <f>J67</f>
        <v>0.819672131147541</v>
      </c>
      <c r="S72" s="196">
        <f>NORMSDIST(-IF(LN(R72)&gt;LN(Q72),1,-1)*(LN(M72)-LN(Q72))/SQRT(AF72/I72))*100</f>
        <v>0.5000000000000001</v>
      </c>
      <c r="T72" s="24">
        <f>NORMSDIST(-IF(LN(R72)&gt;LN(Q72),1,-1)*(LN(R72)-LN(M72))/SQRT(AF72/I72))*100</f>
        <v>24.999999999999982</v>
      </c>
      <c r="U72" s="81"/>
      <c r="V72" s="24">
        <f>MIN(AD72,AE72)</f>
        <v>19.343043245255387</v>
      </c>
      <c r="W72" s="24">
        <f>IF(100*(1-2*(1-NORMSDIST(-NORMSINV((1-N70/100)/2)-ABS(LN(I67))/SQRT(AF72/I72))))&lt;0,0,100*(1-2*(1-NORMSDIST(-NORMSINV((1-N70/100)/2)-ABS(LN(I67))/SQRT(AF72/I72)))))</f>
        <v>0</v>
      </c>
      <c r="X72" s="24">
        <f>100-W72-Y72</f>
        <v>91.28274871405277</v>
      </c>
      <c r="Y72" s="24">
        <f>100*2*(1-NORMSDIST(IF(-NORMSINV((1-N70/100)/2)&gt;2*ABS(LN(I67))/SQRT(AF72/I72),-NORMSINV((1-N70/100)/2)-ABS(LN(I67))/SQRT(AF72/I72),ABS(LN(I67))/SQRT(AF72/I72))))</f>
        <v>8.717251285947224</v>
      </c>
      <c r="Z72" s="196">
        <f>IF(100*2*(1-NORMSDIST(-NORMSINV((1-50/100)/2)+ABS(LN(I67))/SQRT(AF72/I72)))&gt;Y72,Y72,100*2*(1-NORMSDIST(-NORMSINV((1-50/100)/2)+ABS(LN(I67))/SQRT(AF72/I72))))</f>
        <v>1.7079360864558302</v>
      </c>
      <c r="AA72" s="196">
        <f>100*2*(1-NORMSDIST(-NORMSINV((1-N70/100)/2)+ABS(LN(I67))/SQRT(AF72/I72)))</f>
        <v>0.07926213154298978</v>
      </c>
      <c r="AB72" s="77"/>
      <c r="AC72" s="138"/>
      <c r="AD72" s="192">
        <f>100-100*NORMSDIST(ABS(LN(J67))/SQRT(AF72/I72)-NORMSINV(1-H72/100))</f>
        <v>19.343043245255387</v>
      </c>
      <c r="AE72" s="192">
        <f>100-100*NORMSDIST(NORMSINV(1-G72/100)-ABS(LN(I67))/SQRT(AF72/I72))</f>
        <v>19.3430432452554</v>
      </c>
      <c r="AF72" s="176">
        <f>(1/(F72/100))*(1+1/(I67*E72/(100-E72))+1+I67*E72/(100-E72))+(1/(1-F72/100))*(1/(E72/100)+1/(1-E72/100))</f>
        <v>16.097985626075513</v>
      </c>
    </row>
    <row r="73" spans="1:32" ht="12.75" customHeight="1">
      <c r="A73" s="138"/>
      <c r="B73" s="77"/>
      <c r="C73" s="243">
        <f>IF(COUNTA(C69:C72)=1,"","Error: show only one harmful effect")</f>
      </c>
      <c r="D73" s="243"/>
      <c r="E73" s="243"/>
      <c r="F73" s="243"/>
      <c r="G73" s="23" t="str">
        <f>IF(G72&lt;=0.1,"negligible",IF(G72&lt;=0.5,"most unlikely",IF(G72&lt;=5,"very unlikely",IF(G72&lt;=25,"unlikely",IF(G72&lt;=50,"possible","not computed")))))</f>
        <v>most unlikely</v>
      </c>
      <c r="H73" s="23" t="str">
        <f>IF(H72&lt;0.505,"most unlikely",IF(H72&lt;5.01,"very unlikely",IF(H72&lt;25.1,"unlikely",IF(H72&lt;75,"possible",IF(H72&lt;95,"likely",IF(H72&lt;99.5,"very likely","most likely"))))))</f>
        <v>unlikely</v>
      </c>
      <c r="I73" s="77"/>
      <c r="J73" s="77"/>
      <c r="K73" s="77"/>
      <c r="L73" s="77"/>
      <c r="M73" s="181"/>
      <c r="N73" s="82"/>
      <c r="O73" s="82"/>
      <c r="P73" s="82"/>
      <c r="Q73" s="80"/>
      <c r="R73" s="80"/>
      <c r="S73" s="23" t="str">
        <f>IF(S72&lt;0.505,"most unlikely",IF(S72&lt;5.01,"very unlikely",IF(S72&lt;25.01,"unlikely",IF(S72&lt;74.99,"possible",IF(S72&lt;94.99,"likely",IF(S72&lt;99.49,"very likely","most likely"))))))</f>
        <v>most unlikely</v>
      </c>
      <c r="T73" s="23" t="str">
        <f>IF(T72&lt;0.505,"most unlikely",IF(T72&lt;5.01,"very unlikely",IF(T72&lt;24.99,"unlikely",IF(T72&lt;74.99,"possible",IF(T72&lt;94.99,"likely",IF(T72&lt;99.49,"very likely","most likely"))))))</f>
        <v>possible</v>
      </c>
      <c r="U73" s="77"/>
      <c r="V73" s="164" t="str">
        <f aca="true" t="shared" si="5" ref="V73:AA73">IF(V72&lt;0.5,"most unlikely",IF(V72&lt;5,"very unlikely",IF(V72&lt;25,"unlikely",IF(V72&lt;75,"possible",IF(V72&lt;95,"likely",IF(V72&lt;99.5,"very likely","most likely"))))))</f>
        <v>unlikely</v>
      </c>
      <c r="W73" s="164" t="str">
        <f t="shared" si="5"/>
        <v>most unlikely</v>
      </c>
      <c r="X73" s="164" t="str">
        <f t="shared" si="5"/>
        <v>likely</v>
      </c>
      <c r="Y73" s="164" t="str">
        <f t="shared" si="5"/>
        <v>unlikely</v>
      </c>
      <c r="Z73" s="164" t="str">
        <f t="shared" si="5"/>
        <v>very unlikely</v>
      </c>
      <c r="AA73" s="164" t="str">
        <f t="shared" si="5"/>
        <v>most unlikely</v>
      </c>
      <c r="AB73" s="79"/>
      <c r="AC73" s="73"/>
      <c r="AD73" s="9"/>
      <c r="AE73" s="9"/>
      <c r="AF73" s="177"/>
    </row>
    <row r="74" spans="1:32" ht="7.5" customHeight="1">
      <c r="A74" s="138"/>
      <c r="B74" s="77"/>
      <c r="C74" s="77"/>
      <c r="D74" s="77"/>
      <c r="E74" s="77"/>
      <c r="F74" s="77"/>
      <c r="G74" s="83"/>
      <c r="H74" s="83"/>
      <c r="I74" s="77"/>
      <c r="J74" s="77"/>
      <c r="K74" s="77"/>
      <c r="L74" s="77"/>
      <c r="M74" s="77"/>
      <c r="N74" s="82"/>
      <c r="O74" s="82"/>
      <c r="P74" s="82"/>
      <c r="Q74" s="82"/>
      <c r="R74" s="82"/>
      <c r="S74" s="77"/>
      <c r="T74" s="79"/>
      <c r="U74" s="77"/>
      <c r="V74" s="77"/>
      <c r="W74" s="77"/>
      <c r="X74" s="77"/>
      <c r="Y74" s="77"/>
      <c r="Z74" s="77"/>
      <c r="AA74" s="77"/>
      <c r="AB74" s="79"/>
      <c r="AC74" s="73"/>
      <c r="AF74" s="177"/>
    </row>
    <row r="75" spans="1:32" ht="12.75" customHeight="1">
      <c r="A75" s="73"/>
      <c r="B75" s="84" t="s">
        <v>86</v>
      </c>
      <c r="C75" s="90"/>
      <c r="D75" s="90"/>
      <c r="E75" s="90"/>
      <c r="F75" s="90"/>
      <c r="G75" s="90"/>
      <c r="H75" s="90"/>
      <c r="I75" s="153"/>
      <c r="J75" s="90"/>
      <c r="K75" s="154"/>
      <c r="L75" s="154"/>
      <c r="M75" s="90"/>
      <c r="N75" s="90"/>
      <c r="O75" s="90"/>
      <c r="P75" s="90"/>
      <c r="Q75" s="90"/>
      <c r="R75" s="90"/>
      <c r="S75" s="90"/>
      <c r="T75" s="90"/>
      <c r="U75" s="154"/>
      <c r="V75" s="154"/>
      <c r="W75" s="90"/>
      <c r="X75" s="90"/>
      <c r="Y75" s="90"/>
      <c r="Z75" s="90"/>
      <c r="AA75" s="90"/>
      <c r="AB75" s="90"/>
      <c r="AC75" s="73"/>
      <c r="AD75" s="194"/>
      <c r="AE75" s="194"/>
      <c r="AF75" s="9"/>
    </row>
    <row r="76" spans="1:32" ht="12.75" customHeight="1">
      <c r="A76" s="138"/>
      <c r="B76" s="84"/>
      <c r="C76" s="85"/>
      <c r="D76" s="85"/>
      <c r="E76" s="85"/>
      <c r="F76" s="85"/>
      <c r="G76" s="86"/>
      <c r="H76" s="86"/>
      <c r="I76" s="85"/>
      <c r="J76" s="85"/>
      <c r="K76" s="85"/>
      <c r="L76" s="85"/>
      <c r="M76" s="90" t="s">
        <v>43</v>
      </c>
      <c r="N76" s="89"/>
      <c r="O76" s="89"/>
      <c r="P76" s="89"/>
      <c r="Q76" s="89"/>
      <c r="R76" s="89"/>
      <c r="S76" s="85"/>
      <c r="T76" s="90"/>
      <c r="U76" s="85"/>
      <c r="V76" s="319" t="s">
        <v>67</v>
      </c>
      <c r="W76" s="320"/>
      <c r="X76" s="320"/>
      <c r="Y76" s="320"/>
      <c r="Z76" s="320"/>
      <c r="AA76" s="321"/>
      <c r="AB76" s="90"/>
      <c r="AC76" s="73"/>
      <c r="AD76" s="310" t="s">
        <v>58</v>
      </c>
      <c r="AE76" s="311"/>
      <c r="AF76" s="177"/>
    </row>
    <row r="77" spans="1:32" ht="12.75" customHeight="1">
      <c r="A77" s="138"/>
      <c r="B77" s="85"/>
      <c r="C77" s="282" t="s">
        <v>32</v>
      </c>
      <c r="D77" s="282" t="s">
        <v>33</v>
      </c>
      <c r="E77" s="304" t="s">
        <v>34</v>
      </c>
      <c r="F77" s="283" t="s">
        <v>35</v>
      </c>
      <c r="G77" s="286" t="s">
        <v>44</v>
      </c>
      <c r="H77" s="287"/>
      <c r="I77" s="85"/>
      <c r="J77" s="85"/>
      <c r="K77" s="85"/>
      <c r="L77" s="85"/>
      <c r="M77" s="302" t="s">
        <v>50</v>
      </c>
      <c r="N77" s="89"/>
      <c r="O77" s="89"/>
      <c r="P77" s="89"/>
      <c r="Q77" s="332" t="s">
        <v>89</v>
      </c>
      <c r="R77" s="332" t="s">
        <v>90</v>
      </c>
      <c r="S77" s="85"/>
      <c r="T77" s="90"/>
      <c r="U77" s="85"/>
      <c r="V77" s="322" t="s">
        <v>61</v>
      </c>
      <c r="W77" s="314" t="s">
        <v>68</v>
      </c>
      <c r="X77" s="315"/>
      <c r="Y77" s="315"/>
      <c r="Z77" s="315"/>
      <c r="AA77" s="316"/>
      <c r="AB77" s="90"/>
      <c r="AC77" s="73"/>
      <c r="AD77" s="312"/>
      <c r="AE77" s="313"/>
      <c r="AF77" s="297" t="s">
        <v>7</v>
      </c>
    </row>
    <row r="78" spans="1:32" ht="12.75" customHeight="1">
      <c r="A78" s="138"/>
      <c r="B78" s="85"/>
      <c r="C78" s="282"/>
      <c r="D78" s="282"/>
      <c r="E78" s="305"/>
      <c r="F78" s="284"/>
      <c r="G78" s="288"/>
      <c r="H78" s="289"/>
      <c r="I78" s="301" t="s">
        <v>10</v>
      </c>
      <c r="J78" s="301"/>
      <c r="K78" s="301"/>
      <c r="L78" s="91"/>
      <c r="M78" s="303"/>
      <c r="N78" s="137">
        <f>$N$19</f>
        <v>90</v>
      </c>
      <c r="O78" s="307" t="s">
        <v>11</v>
      </c>
      <c r="P78" s="308"/>
      <c r="Q78" s="344"/>
      <c r="R78" s="333"/>
      <c r="S78" s="338" t="s">
        <v>46</v>
      </c>
      <c r="T78" s="339"/>
      <c r="U78" s="91"/>
      <c r="V78" s="347"/>
      <c r="W78" s="322" t="s">
        <v>54</v>
      </c>
      <c r="X78" s="322" t="s">
        <v>57</v>
      </c>
      <c r="Y78" s="345" t="s">
        <v>62</v>
      </c>
      <c r="Z78" s="345" t="s">
        <v>59</v>
      </c>
      <c r="AA78" s="345" t="s">
        <v>60</v>
      </c>
      <c r="AB78" s="85"/>
      <c r="AC78" s="138"/>
      <c r="AD78" s="317" t="s">
        <v>55</v>
      </c>
      <c r="AE78" s="317" t="s">
        <v>56</v>
      </c>
      <c r="AF78" s="298"/>
    </row>
    <row r="79" spans="1:32" ht="12.75" customHeight="1">
      <c r="A79" s="138"/>
      <c r="B79" s="85"/>
      <c r="C79" s="282"/>
      <c r="D79" s="282"/>
      <c r="E79" s="306"/>
      <c r="F79" s="285"/>
      <c r="G79" s="74" t="s">
        <v>12</v>
      </c>
      <c r="H79" s="62" t="s">
        <v>13</v>
      </c>
      <c r="I79" s="22" t="s">
        <v>21</v>
      </c>
      <c r="J79" s="22" t="s">
        <v>36</v>
      </c>
      <c r="K79" s="22" t="s">
        <v>37</v>
      </c>
      <c r="L79" s="91"/>
      <c r="M79" s="303"/>
      <c r="N79" s="22" t="s">
        <v>14</v>
      </c>
      <c r="O79" s="22" t="s">
        <v>15</v>
      </c>
      <c r="P79" s="22" t="s">
        <v>69</v>
      </c>
      <c r="Q79" s="340"/>
      <c r="R79" s="340"/>
      <c r="S79" s="29" t="s">
        <v>17</v>
      </c>
      <c r="T79" s="29" t="s">
        <v>18</v>
      </c>
      <c r="U79" s="91"/>
      <c r="V79" s="323"/>
      <c r="W79" s="323"/>
      <c r="X79" s="323"/>
      <c r="Y79" s="346"/>
      <c r="Z79" s="346"/>
      <c r="AA79" s="346"/>
      <c r="AB79" s="85"/>
      <c r="AC79" s="138"/>
      <c r="AD79" s="318"/>
      <c r="AE79" s="318"/>
      <c r="AF79" s="299"/>
    </row>
    <row r="80" spans="1:32" ht="13.5" customHeight="1">
      <c r="A80" s="138"/>
      <c r="B80" s="85"/>
      <c r="C80" s="21">
        <v>1.1</v>
      </c>
      <c r="D80" s="20">
        <f>1/C80</f>
        <v>0.9090909090909091</v>
      </c>
      <c r="E80" s="49">
        <v>50</v>
      </c>
      <c r="F80" s="49">
        <v>50</v>
      </c>
      <c r="G80" s="125">
        <f>$G$19</f>
        <v>0.5</v>
      </c>
      <c r="H80" s="125">
        <f>$H$19</f>
        <v>25</v>
      </c>
      <c r="I80" s="25">
        <f>AF80*((NORMSINV(1-G80/100)+NORMSINV(1-H80/100))/(LN(D80)-LN(C80)))^2</f>
        <v>4657.21875113669</v>
      </c>
      <c r="J80" s="24">
        <f>F80/100*I80</f>
        <v>2328.609375568345</v>
      </c>
      <c r="K80" s="24">
        <f>I80-J80</f>
        <v>2328.609375568345</v>
      </c>
      <c r="L80" s="92"/>
      <c r="M80" s="20">
        <f>EXP((LN(D80)*NORMSINV(1-G80/100)+LN(C80)*NORMSINV(1-H80/100))/(NORMSINV(1-G80/100)+NORMSINV(1-H80/100)))</f>
        <v>0.9457721377851109</v>
      </c>
      <c r="N80" s="28">
        <f>EXP(LN(M80)+SQRT(AF80/I80)*NORMSINV((1-N78/100)/2))</f>
        <v>0.8588003708898687</v>
      </c>
      <c r="O80" s="28">
        <f>EXP(LN(M80)+SQRT(AF80/I80)*NORMSINV(1-(1-N78/100)/2))</f>
        <v>1.0415516421863844</v>
      </c>
      <c r="P80" s="28">
        <f>SQRT(O80/N80)</f>
        <v>1.1012712265192945</v>
      </c>
      <c r="Q80" s="20">
        <f>C80</f>
        <v>1.1</v>
      </c>
      <c r="R80" s="20">
        <f>D80</f>
        <v>0.9090909090909091</v>
      </c>
      <c r="S80" s="196">
        <f>NORMSDIST(-IF(LN(R80)&gt;LN(Q80),1,-1)*(LN(M80)-LN(Q80))/SQRT(AF80/I80))*100</f>
        <v>0.49999999999999967</v>
      </c>
      <c r="T80" s="24">
        <f>NORMSDIST(-IF(LN(R80)&gt;LN(Q80),1,-1)*(LN(R80)-LN(M80))/SQRT(AF80/I80))*100</f>
        <v>25.000000000000007</v>
      </c>
      <c r="U80" s="92"/>
      <c r="V80" s="24">
        <f>MIN(AD80,AE80)</f>
        <v>17.088601761553463</v>
      </c>
      <c r="W80" s="24">
        <f>IF(100*(1-2*(1-NORMSDIST(-NORMSINV((1-N78/100)/2)-ABS(LN(C80))/SQRT(AF80/I80))))&lt;0,0,100*(1-2*(1-NORMSDIST(-NORMSINV((1-N78/100)/2)-ABS(LN(C80))/SQRT(AF80/I80)))))</f>
        <v>1.5712602676690945</v>
      </c>
      <c r="X80" s="24">
        <f>100-W80-Y80</f>
        <v>88.0158825520718</v>
      </c>
      <c r="Y80" s="24">
        <f>100*2*(1-NORMSDIST(IF(-NORMSINV((1-N78/100)/2)&gt;2*ABS(LN(C80))/SQRT(AF80/I80),-NORMSINV((1-N78/100)/2)-ABS(LN(C80))/SQRT(AF80/I80),ABS(LN(C80))/SQRT(AF80/I80))))</f>
        <v>10.412857180259106</v>
      </c>
      <c r="Z80" s="196">
        <f>IF(100*2*(1-NORMSDIST(-NORMSINV((1-50/100)/2)+ABS(LN(C80))/SQRT(AF80/I80)))&gt;Y80,Y80,100*2*(1-NORMSDIST(-NORMSINV((1-50/100)/2)+ABS(LN(C80))/SQRT(AF80/I80))))</f>
        <v>2.1468097942677344</v>
      </c>
      <c r="AA80" s="196">
        <f>100*2*(1-NORMSDIST(-NORMSINV((1-N78/100)/2)+ABS(LN(C80))/SQRT(AF80/I80)))</f>
        <v>0.10754248345621331</v>
      </c>
      <c r="AB80" s="85"/>
      <c r="AC80" s="138"/>
      <c r="AD80" s="192">
        <f>100-100*NORMSDIST(ABS(LN(D80))/SQRT(AF80/I80)-NORMSINV(1-H80/100))</f>
        <v>17.088601761553463</v>
      </c>
      <c r="AE80" s="192">
        <f>100-100*NORMSDIST(NORMSINV(1-G80/100)-ABS(LN(C80))/SQRT(AF80/I80))</f>
        <v>17.088601761553463</v>
      </c>
      <c r="AF80" s="176">
        <f>(1/(F80/100))*(1+1/(C80*E80/(100-E80))+1+C80*E80/(100-E80))+(1/(1-F80/100))*(1/(E80/100)+1/(1-E80/100))</f>
        <v>16.01818181818182</v>
      </c>
    </row>
    <row r="81" spans="1:32" ht="12.75" customHeight="1">
      <c r="A81" s="138"/>
      <c r="B81" s="85"/>
      <c r="C81" s="85"/>
      <c r="D81" s="85"/>
      <c r="E81" s="85"/>
      <c r="F81" s="85"/>
      <c r="G81" s="23" t="str">
        <f>IF(G80&lt;=0.1,"negligible",IF(G80&lt;=0.5,"most unlikely",IF(G80&lt;=5,"very unlikely",IF(G80&lt;=25,"unlikely",IF(G80&lt;=50,"possible","not computed")))))</f>
        <v>most unlikely</v>
      </c>
      <c r="H81" s="23" t="str">
        <f>IF(H80&lt;0.505,"most unlikely",IF(H80&lt;5.01,"very unlikely",IF(H80&lt;25.1,"unlikely",IF(H80&lt;75,"possible",IF(H80&lt;95,"likely",IF(H80&lt;99.5,"very likely","most likely"))))))</f>
        <v>unlikely</v>
      </c>
      <c r="I81" s="85"/>
      <c r="J81" s="93"/>
      <c r="K81" s="94"/>
      <c r="L81" s="85"/>
      <c r="M81" s="182"/>
      <c r="N81" s="89"/>
      <c r="O81" s="89"/>
      <c r="P81" s="89"/>
      <c r="Q81" s="91"/>
      <c r="R81" s="91"/>
      <c r="S81" s="23" t="str">
        <f>IF(S80&lt;0.505,"most unlikely",IF(S80&lt;5.01,"very unlikely",IF(S80&lt;25.01,"unlikely",IF(S80&lt;74.99,"possible",IF(S80&lt;94.99,"likely",IF(S80&lt;99.49,"very likely","most likely"))))))</f>
        <v>most unlikely</v>
      </c>
      <c r="T81" s="23" t="str">
        <f>IF(T80&lt;0.505,"most unlikely",IF(T80&lt;5.01,"very unlikely",IF(T80&lt;24.99,"unlikely",IF(T80&lt;74.99,"possible",IF(T80&lt;94.99,"likely",IF(T80&lt;99.49,"very likely","most likely"))))))</f>
        <v>possible</v>
      </c>
      <c r="U81" s="85"/>
      <c r="V81" s="164" t="str">
        <f aca="true" t="shared" si="6" ref="V81:AA81">IF(V80&lt;0.5,"most unlikely",IF(V80&lt;5,"very unlikely",IF(V80&lt;25,"unlikely",IF(V80&lt;75,"possible",IF(V80&lt;95,"likely",IF(V80&lt;99.5,"very likely","most likely"))))))</f>
        <v>unlikely</v>
      </c>
      <c r="W81" s="164" t="str">
        <f t="shared" si="6"/>
        <v>very unlikely</v>
      </c>
      <c r="X81" s="164" t="str">
        <f t="shared" si="6"/>
        <v>likely</v>
      </c>
      <c r="Y81" s="164" t="str">
        <f t="shared" si="6"/>
        <v>unlikely</v>
      </c>
      <c r="Z81" s="164" t="str">
        <f t="shared" si="6"/>
        <v>very unlikely</v>
      </c>
      <c r="AA81" s="164" t="str">
        <f t="shared" si="6"/>
        <v>most unlikely</v>
      </c>
      <c r="AB81" s="90"/>
      <c r="AC81" s="73"/>
      <c r="AD81" s="9"/>
      <c r="AE81" s="9"/>
      <c r="AF81" s="177"/>
    </row>
    <row r="82" spans="1:32" ht="9.75" customHeight="1">
      <c r="A82" s="73"/>
      <c r="B82" s="90"/>
      <c r="C82" s="90"/>
      <c r="D82" s="90"/>
      <c r="E82" s="90"/>
      <c r="F82" s="90"/>
      <c r="G82" s="90"/>
      <c r="H82" s="90"/>
      <c r="I82" s="153"/>
      <c r="J82" s="90"/>
      <c r="K82" s="154"/>
      <c r="L82" s="154"/>
      <c r="M82" s="90"/>
      <c r="N82" s="90"/>
      <c r="O82" s="90"/>
      <c r="P82" s="90"/>
      <c r="Q82" s="90"/>
      <c r="R82" s="90"/>
      <c r="S82" s="90"/>
      <c r="T82" s="90"/>
      <c r="U82" s="154"/>
      <c r="V82" s="154"/>
      <c r="W82" s="90"/>
      <c r="X82" s="90"/>
      <c r="Y82" s="90"/>
      <c r="Z82" s="90"/>
      <c r="AA82" s="90"/>
      <c r="AB82" s="90"/>
      <c r="AC82" s="73"/>
      <c r="AD82" s="194"/>
      <c r="AE82" s="194"/>
      <c r="AF82" s="9"/>
    </row>
    <row r="83" spans="1:32" ht="12" customHeight="1">
      <c r="A83" s="73"/>
      <c r="B83" s="73"/>
      <c r="C83" s="73"/>
      <c r="D83" s="73"/>
      <c r="E83" s="73"/>
      <c r="F83" s="73"/>
      <c r="G83" s="73"/>
      <c r="H83" s="73"/>
      <c r="I83" s="96"/>
      <c r="J83" s="73"/>
      <c r="K83" s="148"/>
      <c r="L83" s="148"/>
      <c r="M83" s="73"/>
      <c r="N83" s="73"/>
      <c r="O83" s="73"/>
      <c r="P83" s="73"/>
      <c r="Q83" s="73"/>
      <c r="R83" s="73"/>
      <c r="S83" s="73"/>
      <c r="T83" s="73"/>
      <c r="U83" s="148"/>
      <c r="V83" s="148"/>
      <c r="W83" s="73"/>
      <c r="X83" s="73"/>
      <c r="Y83" s="73"/>
      <c r="Z83" s="73"/>
      <c r="AA83" s="73"/>
      <c r="AB83" s="73"/>
      <c r="AC83" s="73"/>
      <c r="AD83" s="194"/>
      <c r="AE83" s="194"/>
      <c r="AF83" s="9"/>
    </row>
    <row r="84" spans="1:31" s="9" customFormat="1" ht="12.75">
      <c r="A84" s="73"/>
      <c r="B84" s="95"/>
      <c r="C84" s="73"/>
      <c r="D84" s="73"/>
      <c r="E84" s="73"/>
      <c r="F84" s="73"/>
      <c r="G84" s="73"/>
      <c r="H84" s="73"/>
      <c r="I84" s="96"/>
      <c r="J84" s="73"/>
      <c r="K84" s="73"/>
      <c r="L84" s="73"/>
      <c r="M84" s="73"/>
      <c r="N84" s="73"/>
      <c r="O84" s="73"/>
      <c r="P84" s="73"/>
      <c r="Q84" s="73"/>
      <c r="R84" s="73"/>
      <c r="AD84" s="194"/>
      <c r="AE84" s="194"/>
    </row>
    <row r="85" spans="1:31" s="9" customFormat="1" ht="12.75" customHeight="1">
      <c r="A85" s="73"/>
      <c r="B85" s="95"/>
      <c r="C85" s="341" t="s">
        <v>65</v>
      </c>
      <c r="D85" s="341"/>
      <c r="E85" s="341"/>
      <c r="F85" s="73"/>
      <c r="G85" s="286" t="s">
        <v>39</v>
      </c>
      <c r="H85" s="287"/>
      <c r="I85" s="96"/>
      <c r="J85" s="73"/>
      <c r="K85" s="73"/>
      <c r="L85" s="73"/>
      <c r="M85" s="73"/>
      <c r="N85" s="73"/>
      <c r="O85" s="73"/>
      <c r="P85" s="73"/>
      <c r="Q85" s="73"/>
      <c r="R85" s="73"/>
      <c r="AD85" s="194"/>
      <c r="AE85" s="194"/>
    </row>
    <row r="86" spans="1:31" s="9" customFormat="1" ht="12.75" customHeight="1">
      <c r="A86" s="73"/>
      <c r="B86" s="95"/>
      <c r="C86" s="341"/>
      <c r="D86" s="341"/>
      <c r="E86" s="341"/>
      <c r="F86" s="73"/>
      <c r="G86" s="288"/>
      <c r="H86" s="289"/>
      <c r="I86" s="96"/>
      <c r="J86" s="73"/>
      <c r="K86" s="73"/>
      <c r="L86" s="73"/>
      <c r="M86" s="73"/>
      <c r="N86" s="73"/>
      <c r="O86" s="73"/>
      <c r="P86" s="73"/>
      <c r="Q86" s="73"/>
      <c r="R86" s="73"/>
      <c r="AD86" s="194"/>
      <c r="AE86" s="194"/>
    </row>
    <row r="87" spans="1:31" s="9" customFormat="1" ht="12.75">
      <c r="A87" s="73"/>
      <c r="B87" s="95"/>
      <c r="C87" s="341"/>
      <c r="D87" s="341"/>
      <c r="E87" s="341"/>
      <c r="F87" s="73"/>
      <c r="G87" s="74" t="s">
        <v>51</v>
      </c>
      <c r="H87" s="62" t="s">
        <v>52</v>
      </c>
      <c r="I87" s="96"/>
      <c r="J87" s="73"/>
      <c r="K87" s="73"/>
      <c r="L87" s="73"/>
      <c r="M87" s="73"/>
      <c r="N87" s="73"/>
      <c r="O87" s="73"/>
      <c r="P87" s="73"/>
      <c r="Q87" s="73"/>
      <c r="R87" s="73"/>
      <c r="AD87" s="194"/>
      <c r="AE87" s="194"/>
    </row>
    <row r="88" spans="1:31" s="9" customFormat="1" ht="13.5" customHeight="1">
      <c r="A88" s="73"/>
      <c r="B88" s="95"/>
      <c r="C88" s="341"/>
      <c r="D88" s="341"/>
      <c r="E88" s="341"/>
      <c r="F88" s="73"/>
      <c r="G88" s="132">
        <v>5</v>
      </c>
      <c r="H88" s="132">
        <v>20</v>
      </c>
      <c r="I88" s="96"/>
      <c r="J88" s="122"/>
      <c r="K88" s="73"/>
      <c r="L88" s="73"/>
      <c r="M88" s="73"/>
      <c r="N88" s="135">
        <v>95</v>
      </c>
      <c r="O88" s="307" t="s">
        <v>11</v>
      </c>
      <c r="P88" s="308"/>
      <c r="Q88" s="73"/>
      <c r="R88" s="73"/>
      <c r="AD88" s="194"/>
      <c r="AE88" s="194"/>
    </row>
    <row r="89" spans="1:39" s="7" customFormat="1" ht="12.75" customHeight="1">
      <c r="A89" s="73"/>
      <c r="B89" s="73"/>
      <c r="C89" s="127"/>
      <c r="D89" s="127"/>
      <c r="E89" s="73"/>
      <c r="F89" s="128"/>
      <c r="G89" s="23" t="str">
        <f>IF(G88&lt;=0.1,"negligible",IF(G88&lt;=0.5,"most unlikely",IF(G88&lt;=5,"very unlikely",IF(G88&lt;=25,"unlikely",IF(G88&lt;=50,"possible","not computed")))))</f>
        <v>very unlikely</v>
      </c>
      <c r="H89" s="23" t="str">
        <f>IF(H88&lt;=0.1,"negligible",IF(H88&lt;=0.5,"most unlikely",IF(H88&lt;=5,"very unlikely",IF(H88&lt;=25,"unlikely",IF(H88&lt;=75,"possible",IF(H88&lt;=95,"likely",IF(H88&lt;=99.5,"very likely","most likely")))))))</f>
        <v>unlikely</v>
      </c>
      <c r="I89" s="130"/>
      <c r="J89" s="131"/>
      <c r="K89" s="131"/>
      <c r="L89" s="131"/>
      <c r="M89" s="131"/>
      <c r="N89" s="131"/>
      <c r="O89" s="131"/>
      <c r="P89" s="131"/>
      <c r="Q89" s="131"/>
      <c r="R89" s="131"/>
      <c r="T89" s="245"/>
      <c r="U89" s="8"/>
      <c r="V89" s="8"/>
      <c r="W89" s="171"/>
      <c r="X89" s="171"/>
      <c r="Y89" s="171"/>
      <c r="Z89" s="171"/>
      <c r="AA89" s="171"/>
      <c r="AD89" s="186"/>
      <c r="AE89" s="186"/>
      <c r="AF89" s="171"/>
      <c r="AG89" s="12"/>
      <c r="AH89" s="9"/>
      <c r="AI89" s="9"/>
      <c r="AJ89" s="9"/>
      <c r="AK89" s="9"/>
      <c r="AL89" s="9"/>
      <c r="AM89" s="9"/>
    </row>
    <row r="90" spans="1:35" ht="12.75" customHeight="1">
      <c r="A90" s="138"/>
      <c r="B90" s="14" t="str">
        <f>B21</f>
        <v>Change in mean in a post-only crossover</v>
      </c>
      <c r="C90" s="3"/>
      <c r="D90" s="3"/>
      <c r="E90" s="3"/>
      <c r="F90" s="3"/>
      <c r="G90" s="3"/>
      <c r="H90" s="3"/>
      <c r="I90" s="97"/>
      <c r="J90" s="3"/>
      <c r="K90" s="3"/>
      <c r="L90" s="3"/>
      <c r="M90" s="3" t="s">
        <v>43</v>
      </c>
      <c r="N90" s="3"/>
      <c r="O90" s="3"/>
      <c r="P90" s="3"/>
      <c r="Q90" s="3"/>
      <c r="R90" s="138"/>
      <c r="T90" s="10"/>
      <c r="AB90" s="10"/>
      <c r="AD90" s="7"/>
      <c r="AE90" s="11"/>
      <c r="AG90" s="9"/>
      <c r="AH90" s="194"/>
      <c r="AI90" s="194"/>
    </row>
    <row r="91" spans="1:35" ht="6" customHeight="1">
      <c r="A91" s="138"/>
      <c r="B91" s="14"/>
      <c r="C91" s="3"/>
      <c r="D91" s="3"/>
      <c r="E91" s="3"/>
      <c r="F91" s="3"/>
      <c r="G91" s="3"/>
      <c r="H91" s="3"/>
      <c r="I91" s="97"/>
      <c r="J91" s="3"/>
      <c r="K91" s="3"/>
      <c r="L91" s="3"/>
      <c r="M91" s="3"/>
      <c r="N91" s="3"/>
      <c r="O91" s="3"/>
      <c r="P91" s="3"/>
      <c r="Q91" s="3"/>
      <c r="R91" s="138"/>
      <c r="T91" s="10"/>
      <c r="AB91" s="10"/>
      <c r="AD91" s="7"/>
      <c r="AE91" s="11"/>
      <c r="AG91" s="9"/>
      <c r="AH91" s="194"/>
      <c r="AI91" s="194"/>
    </row>
    <row r="92" spans="1:35" ht="12.75" customHeight="1">
      <c r="A92" s="138"/>
      <c r="B92" s="3"/>
      <c r="C92" s="283" t="s">
        <v>38</v>
      </c>
      <c r="D92" s="98"/>
      <c r="E92" s="282" t="s">
        <v>6</v>
      </c>
      <c r="F92" s="156"/>
      <c r="G92" s="286" t="s">
        <v>39</v>
      </c>
      <c r="H92" s="287"/>
      <c r="I92" s="15"/>
      <c r="J92" s="15"/>
      <c r="K92" s="3"/>
      <c r="L92" s="3"/>
      <c r="M92" s="302" t="s">
        <v>47</v>
      </c>
      <c r="N92" s="3"/>
      <c r="O92" s="3"/>
      <c r="P92" s="3"/>
      <c r="Q92" s="3"/>
      <c r="R92" s="138"/>
      <c r="T92" s="10"/>
      <c r="AB92" s="10"/>
      <c r="AD92" s="7"/>
      <c r="AE92" s="11"/>
      <c r="AF92" s="297" t="s">
        <v>7</v>
      </c>
      <c r="AG92" s="9"/>
      <c r="AH92" s="185"/>
      <c r="AI92" s="185"/>
    </row>
    <row r="93" spans="1:39" s="7" customFormat="1" ht="12.75" customHeight="1">
      <c r="A93" s="73"/>
      <c r="B93" s="1"/>
      <c r="C93" s="284"/>
      <c r="D93" s="99"/>
      <c r="E93" s="282"/>
      <c r="F93" s="157"/>
      <c r="G93" s="288"/>
      <c r="H93" s="289"/>
      <c r="I93" s="309" t="s">
        <v>10</v>
      </c>
      <c r="J93" s="17"/>
      <c r="K93" s="2"/>
      <c r="L93" s="2"/>
      <c r="M93" s="303"/>
      <c r="N93" s="137">
        <f>$N$88</f>
        <v>95</v>
      </c>
      <c r="O93" s="307" t="s">
        <v>11</v>
      </c>
      <c r="P93" s="308"/>
      <c r="Q93" s="2"/>
      <c r="R93" s="131"/>
      <c r="AE93" s="8"/>
      <c r="AF93" s="298"/>
      <c r="AG93" s="9"/>
      <c r="AH93" s="185"/>
      <c r="AI93" s="185"/>
      <c r="AK93" s="9"/>
      <c r="AL93" s="9"/>
      <c r="AM93" s="9"/>
    </row>
    <row r="94" spans="1:39" s="7" customFormat="1" ht="12.75">
      <c r="A94" s="73"/>
      <c r="B94" s="1"/>
      <c r="C94" s="285"/>
      <c r="D94" s="99"/>
      <c r="E94" s="282"/>
      <c r="F94" s="157"/>
      <c r="G94" s="74" t="s">
        <v>51</v>
      </c>
      <c r="H94" s="62" t="s">
        <v>52</v>
      </c>
      <c r="I94" s="309"/>
      <c r="J94" s="17"/>
      <c r="K94" s="2"/>
      <c r="L94" s="2"/>
      <c r="M94" s="303"/>
      <c r="N94" s="136" t="s">
        <v>14</v>
      </c>
      <c r="O94" s="124" t="s">
        <v>15</v>
      </c>
      <c r="P94" s="124" t="s">
        <v>16</v>
      </c>
      <c r="Q94" s="2"/>
      <c r="R94" s="131"/>
      <c r="AE94" s="8"/>
      <c r="AF94" s="299"/>
      <c r="AG94" s="349" t="s">
        <v>19</v>
      </c>
      <c r="AH94" s="350"/>
      <c r="AI94" s="351"/>
      <c r="AK94" s="9"/>
      <c r="AL94" s="9"/>
      <c r="AM94" s="9"/>
    </row>
    <row r="95" spans="1:39" s="7" customFormat="1" ht="13.5" customHeight="1">
      <c r="A95" s="73"/>
      <c r="B95" s="1"/>
      <c r="C95" s="214">
        <v>1</v>
      </c>
      <c r="D95" s="216"/>
      <c r="E95" s="215">
        <v>1</v>
      </c>
      <c r="F95" s="69"/>
      <c r="G95" s="155">
        <f>$G$88</f>
        <v>5</v>
      </c>
      <c r="H95" s="125">
        <f>$H$88</f>
        <v>20</v>
      </c>
      <c r="I95" s="101">
        <f>IF(E95/C95&lt;0.35,4,AF95*((TINV(G95/2*2/100,AJ95-1)+IF(H95&gt;50,-TINV(2-2*H95/100,AJ95-1),TINV(2*H95/100,AJ95-1)))/C95)^2)</f>
        <v>17.815343640026217</v>
      </c>
      <c r="J95" s="18"/>
      <c r="K95" s="18"/>
      <c r="L95" s="18"/>
      <c r="M95" s="20">
        <f>(C95*TINV(G95/100,I95-1))/(TINV(G95/100,I95-1)+IF(H95&gt;50,-TINV(2-2*H95/100,I95-1),TINV(2*H95/100,I95-1)))</f>
        <v>0.7102878018726783</v>
      </c>
      <c r="N95" s="28">
        <f>M95-SQRT(AF95/I95)*TINV(1-N93/100,I95-1)</f>
        <v>0</v>
      </c>
      <c r="O95" s="28">
        <f>M95+SQRT(AF95/I95)*TINV(1-N93/100,I95-1)</f>
        <v>1.4205756037453565</v>
      </c>
      <c r="P95" s="28">
        <f>(O95-N95)/2</f>
        <v>0.7102878018726783</v>
      </c>
      <c r="Q95" s="18"/>
      <c r="R95" s="147"/>
      <c r="AE95" s="183"/>
      <c r="AF95" s="176">
        <f>2*E95^2</f>
        <v>2</v>
      </c>
      <c r="AG95" s="176">
        <v>4</v>
      </c>
      <c r="AH95" s="176">
        <f>AF95*((TINV(G95/2*2/100,AG95-1)+IF(H95&gt;50,-TINV(2-2*H95/100,AG95-1),TINV(2*H95/100,AG95-1)))/C95)^2</f>
        <v>34.62648748536308</v>
      </c>
      <c r="AI95" s="176">
        <f>AF95*((TINV(G95/2*2/100,AH95-1)+IF(H95&gt;50,-TINV(2-2*H95/100,AH95-1),TINV(2*H95/100,AH95-1)))/C95)^2</f>
        <v>16.671440253498023</v>
      </c>
      <c r="AJ95" s="176">
        <f>AF95*((TINV(G95/2*2/100,AI95-1)+IF(H95&gt;50,-TINV(2-2*H95/100,AI95-1),TINV(2*H95/100,AI95-1)))/C95)^2</f>
        <v>17.97234485554427</v>
      </c>
      <c r="AK95" s="9"/>
      <c r="AL95" s="9"/>
      <c r="AM95" s="9"/>
    </row>
    <row r="96" spans="1:39" s="7" customFormat="1" ht="22.5">
      <c r="A96" s="73"/>
      <c r="B96" s="1"/>
      <c r="C96" s="19"/>
      <c r="D96" s="1"/>
      <c r="E96" s="19"/>
      <c r="F96" s="263">
        <f>IF(E95/C95&lt;0.35,"Typical error &lt;0.35(smallest change). Sample size is set to 4.","")</f>
      </c>
      <c r="G96" s="23" t="str">
        <f>IF(G95&lt;=0.1,"negligible",IF(G95&lt;=0.5,"most unlikely",IF(G95&lt;=5,"very unlikely",IF(G95&lt;=25,"unlikely",IF(G95&lt;=50,"possible","not computed")))))</f>
        <v>very unlikely</v>
      </c>
      <c r="H96" s="23" t="str">
        <f>IF(H95&lt;=0.1,"negligible",IF(H95&lt;=0.5,"most unlikely",IF(H95&lt;=5,"very unlikely",IF(H95&lt;=25,"unlikely",IF(H95&lt;=75,"possible",IF(H95&lt;=95,"likely",IF(H95&lt;=99.5,"very likely","most likely")))))))</f>
        <v>unlikely</v>
      </c>
      <c r="I96" s="2"/>
      <c r="J96" s="2"/>
      <c r="K96" s="2"/>
      <c r="L96" s="2"/>
      <c r="M96" s="2"/>
      <c r="N96" s="2"/>
      <c r="O96" s="2"/>
      <c r="P96" s="2"/>
      <c r="Q96" s="2"/>
      <c r="R96" s="131"/>
      <c r="AE96" s="8"/>
      <c r="AF96" s="175"/>
      <c r="AG96" s="9"/>
      <c r="AH96" s="9"/>
      <c r="AI96" s="9"/>
      <c r="AK96" s="9"/>
      <c r="AL96" s="9"/>
      <c r="AM96" s="9"/>
    </row>
    <row r="97" spans="1:32" ht="6.75" customHeight="1">
      <c r="A97" s="138"/>
      <c r="B97" s="3"/>
      <c r="C97" s="15"/>
      <c r="D97" s="15"/>
      <c r="E97" s="15"/>
      <c r="F97" s="15"/>
      <c r="G97" s="100"/>
      <c r="H97" s="100"/>
      <c r="I97" s="3"/>
      <c r="J97" s="3"/>
      <c r="K97" s="3"/>
      <c r="L97" s="3"/>
      <c r="M97" s="3"/>
      <c r="N97" s="3"/>
      <c r="O97" s="3"/>
      <c r="P97" s="3"/>
      <c r="Q97" s="3"/>
      <c r="R97" s="138"/>
      <c r="T97" s="10"/>
      <c r="AB97" s="10"/>
      <c r="AD97" s="7"/>
      <c r="AE97" s="11"/>
      <c r="AF97" s="177"/>
    </row>
    <row r="98" spans="1:32" ht="12.75" customHeight="1">
      <c r="A98" s="138"/>
      <c r="B98" s="30" t="str">
        <f>B29</f>
        <v>Difference in changes in means in a pre-post parallel-groups controlled trial</v>
      </c>
      <c r="C98" s="31"/>
      <c r="D98" s="31"/>
      <c r="E98" s="31"/>
      <c r="F98" s="31"/>
      <c r="G98" s="105"/>
      <c r="H98" s="105"/>
      <c r="I98" s="33"/>
      <c r="J98" s="33"/>
      <c r="K98" s="33"/>
      <c r="L98" s="33"/>
      <c r="M98" s="33" t="s">
        <v>43</v>
      </c>
      <c r="N98" s="33"/>
      <c r="O98" s="33"/>
      <c r="P98" s="33"/>
      <c r="Q98" s="33"/>
      <c r="R98" s="138"/>
      <c r="T98" s="10"/>
      <c r="AB98" s="10"/>
      <c r="AD98" s="7"/>
      <c r="AE98" s="11"/>
      <c r="AF98" s="177"/>
    </row>
    <row r="99" spans="1:32" ht="6" customHeight="1">
      <c r="A99" s="138"/>
      <c r="B99" s="30"/>
      <c r="C99" s="31"/>
      <c r="D99" s="31"/>
      <c r="E99" s="31"/>
      <c r="F99" s="31"/>
      <c r="G99" s="105"/>
      <c r="H99" s="105"/>
      <c r="I99" s="33"/>
      <c r="J99" s="33"/>
      <c r="K99" s="33"/>
      <c r="L99" s="33"/>
      <c r="M99" s="33"/>
      <c r="N99" s="33"/>
      <c r="O99" s="33"/>
      <c r="P99" s="33"/>
      <c r="Q99" s="33"/>
      <c r="R99" s="138"/>
      <c r="T99" s="10"/>
      <c r="AB99" s="10"/>
      <c r="AD99" s="7"/>
      <c r="AE99" s="11"/>
      <c r="AF99" s="177"/>
    </row>
    <row r="100" spans="1:32" ht="12.75" customHeight="1">
      <c r="A100" s="138"/>
      <c r="B100" s="33"/>
      <c r="C100" s="283" t="s">
        <v>38</v>
      </c>
      <c r="D100" s="102"/>
      <c r="E100" s="282" t="s">
        <v>6</v>
      </c>
      <c r="F100" s="283" t="s">
        <v>20</v>
      </c>
      <c r="G100" s="286" t="s">
        <v>39</v>
      </c>
      <c r="H100" s="287"/>
      <c r="I100" s="31"/>
      <c r="J100" s="31"/>
      <c r="K100" s="33"/>
      <c r="L100" s="33"/>
      <c r="M100" s="302" t="s">
        <v>47</v>
      </c>
      <c r="N100" s="33"/>
      <c r="O100" s="33"/>
      <c r="P100" s="33"/>
      <c r="Q100" s="33"/>
      <c r="R100" s="138"/>
      <c r="T100" s="10"/>
      <c r="AB100" s="10"/>
      <c r="AD100" s="7"/>
      <c r="AE100" s="11"/>
      <c r="AF100" s="297" t="s">
        <v>7</v>
      </c>
    </row>
    <row r="101" spans="1:39" s="7" customFormat="1" ht="12.75" customHeight="1">
      <c r="A101" s="73"/>
      <c r="B101" s="34"/>
      <c r="C101" s="284"/>
      <c r="D101" s="103"/>
      <c r="E101" s="282"/>
      <c r="F101" s="284"/>
      <c r="G101" s="288"/>
      <c r="H101" s="289"/>
      <c r="I101" s="301" t="s">
        <v>10</v>
      </c>
      <c r="J101" s="301"/>
      <c r="K101" s="301"/>
      <c r="L101" s="36"/>
      <c r="M101" s="303"/>
      <c r="N101" s="137">
        <f>$N$88</f>
        <v>95</v>
      </c>
      <c r="O101" s="307" t="s">
        <v>11</v>
      </c>
      <c r="P101" s="308"/>
      <c r="Q101" s="36"/>
      <c r="R101" s="131"/>
      <c r="AE101" s="8"/>
      <c r="AF101" s="298"/>
      <c r="AG101" s="12"/>
      <c r="AH101" s="9"/>
      <c r="AI101" s="9"/>
      <c r="AK101" s="9"/>
      <c r="AL101" s="9"/>
      <c r="AM101" s="9"/>
    </row>
    <row r="102" spans="1:39" s="7" customFormat="1" ht="12.75">
      <c r="A102" s="73"/>
      <c r="B102" s="34"/>
      <c r="C102" s="285"/>
      <c r="D102" s="103"/>
      <c r="E102" s="282"/>
      <c r="F102" s="285"/>
      <c r="G102" s="74" t="s">
        <v>51</v>
      </c>
      <c r="H102" s="62" t="s">
        <v>52</v>
      </c>
      <c r="I102" s="22" t="s">
        <v>21</v>
      </c>
      <c r="J102" s="22" t="s">
        <v>22</v>
      </c>
      <c r="K102" s="22" t="s">
        <v>23</v>
      </c>
      <c r="L102" s="36"/>
      <c r="M102" s="303"/>
      <c r="N102" s="26" t="s">
        <v>14</v>
      </c>
      <c r="O102" s="22" t="s">
        <v>15</v>
      </c>
      <c r="P102" s="22" t="s">
        <v>16</v>
      </c>
      <c r="Q102" s="36"/>
      <c r="R102" s="131"/>
      <c r="AE102" s="8"/>
      <c r="AF102" s="299"/>
      <c r="AG102" s="349" t="s">
        <v>19</v>
      </c>
      <c r="AH102" s="350"/>
      <c r="AI102" s="351"/>
      <c r="AK102" s="9"/>
      <c r="AL102" s="9"/>
      <c r="AM102" s="9"/>
    </row>
    <row r="103" spans="1:39" s="7" customFormat="1" ht="13.5" customHeight="1">
      <c r="A103" s="73"/>
      <c r="B103" s="34"/>
      <c r="C103" s="214">
        <v>1</v>
      </c>
      <c r="D103" s="217"/>
      <c r="E103" s="218">
        <v>1</v>
      </c>
      <c r="F103" s="106">
        <v>50</v>
      </c>
      <c r="G103" s="125">
        <f>$G$88</f>
        <v>5</v>
      </c>
      <c r="H103" s="125">
        <f>$H$88</f>
        <v>20</v>
      </c>
      <c r="I103" s="101">
        <f>IF(E103/C103&lt;0.2,6,AF103*((TINV(G103/2*2/100,AJ103-2)+IF(H103&gt;50,-TINV(2-2*H103/100,AJ103-2),TINV(2*H103/100,AJ103-2)))/C103)^2)</f>
        <v>64.81724916088895</v>
      </c>
      <c r="J103" s="24">
        <f>F103/100*I103</f>
        <v>32.408624580444474</v>
      </c>
      <c r="K103" s="24">
        <f>I103-J103</f>
        <v>32.408624580444474</v>
      </c>
      <c r="L103" s="37"/>
      <c r="M103" s="20">
        <f>(C103*TINV(G103/100,I103-2))/(TINV(G103/100,I103-2)+IF(H103&gt;50,-TINV(2-2*H103/100,I103-2),TINV(2*H103/100,I103-2)))</f>
        <v>0.7022735337059608</v>
      </c>
      <c r="N103" s="28">
        <f>M103-SQRT(AF103/I103)*TINV(1-N101/100,I103-2)</f>
        <v>0</v>
      </c>
      <c r="O103" s="28">
        <f>M103+SQRT(AF103/I103)*TINV(1-N101/100,I103-2)</f>
        <v>1.4045470674119218</v>
      </c>
      <c r="P103" s="28">
        <f>(O103-N103)/2</f>
        <v>0.7022735337059609</v>
      </c>
      <c r="Q103" s="37"/>
      <c r="R103" s="147"/>
      <c r="AE103" s="183"/>
      <c r="AF103" s="176">
        <f>2*E103^2/(F103/100*(1-F103/100))</f>
        <v>8</v>
      </c>
      <c r="AG103" s="176">
        <v>5</v>
      </c>
      <c r="AH103" s="176">
        <f>AF103*((TINV(G103/2*2/100,AG103-2)+IF(H103&gt;50,-TINV(2-2*H103/100,AG103-2),TINV(2*H103/100,AG103-2)))/C103)^2</f>
        <v>138.50594994145231</v>
      </c>
      <c r="AI103" s="176">
        <f>AF103*((TINV(G103/2*2/100,AH103-2)+IF(H103&gt;50,-TINV(2-2*H103/100,AH103-2),TINV(2*H103/100,AH103-2)))/C103)^2</f>
        <v>63.70192947120739</v>
      </c>
      <c r="AJ103" s="176">
        <f>AF103*((TINV(G103/2*2/100,AI103-2)+IF(H103&gt;50,-TINV(2-2*H103/100,AI103-2),TINV(2*H103/100,AI103-2)))/C103)^2</f>
        <v>64.85133705246426</v>
      </c>
      <c r="AK103" s="9"/>
      <c r="AL103" s="9"/>
      <c r="AM103" s="9"/>
    </row>
    <row r="104" spans="1:39" s="7" customFormat="1" ht="22.5">
      <c r="A104" s="73"/>
      <c r="B104" s="34"/>
      <c r="C104" s="35"/>
      <c r="D104" s="34"/>
      <c r="E104" s="35"/>
      <c r="F104" s="264">
        <f>IF(E103/C103&lt;0.2,"Typical error &lt;0.20(smallest change). Sample size is set to 6.","")</f>
      </c>
      <c r="G104" s="23" t="str">
        <f>IF(G103&lt;=0.1,"negligible",IF(G103&lt;=0.5,"most unlikely",IF(G103&lt;=5,"very unlikely",IF(G103&lt;=25,"unlikely",IF(G103&lt;=50,"possible","not computed")))))</f>
        <v>very unlikely</v>
      </c>
      <c r="H104" s="23" t="str">
        <f>IF(H103&lt;=0.1,"negligible",IF(H103&lt;=0.5,"most unlikely",IF(H103&lt;=5,"very unlikely",IF(H103&lt;=25,"unlikely",IF(H103&lt;=75,"possible",IF(H103&lt;=95,"likely",IF(H103&lt;=99.5,"very likely","most likely")))))))</f>
        <v>unlikely</v>
      </c>
      <c r="I104" s="36"/>
      <c r="J104" s="36"/>
      <c r="K104" s="36"/>
      <c r="L104" s="36"/>
      <c r="M104" s="36"/>
      <c r="N104" s="36"/>
      <c r="O104" s="36"/>
      <c r="P104" s="36"/>
      <c r="Q104" s="36"/>
      <c r="R104" s="131"/>
      <c r="AE104" s="8"/>
      <c r="AF104" s="175"/>
      <c r="AG104" s="9"/>
      <c r="AH104" s="9"/>
      <c r="AI104" s="9"/>
      <c r="AK104" s="9"/>
      <c r="AL104" s="9"/>
      <c r="AM104" s="9"/>
    </row>
    <row r="105" spans="1:39" s="7" customFormat="1" ht="6.75" customHeight="1">
      <c r="A105" s="73"/>
      <c r="B105" s="34"/>
      <c r="C105" s="35"/>
      <c r="D105" s="34"/>
      <c r="E105" s="35"/>
      <c r="F105" s="34"/>
      <c r="G105" s="104"/>
      <c r="H105" s="104"/>
      <c r="I105" s="36"/>
      <c r="J105" s="36"/>
      <c r="K105" s="36"/>
      <c r="L105" s="36"/>
      <c r="M105" s="36"/>
      <c r="N105" s="36"/>
      <c r="O105" s="36"/>
      <c r="P105" s="36"/>
      <c r="Q105" s="36"/>
      <c r="R105" s="131"/>
      <c r="AE105" s="8"/>
      <c r="AF105" s="140"/>
      <c r="AG105" s="9"/>
      <c r="AH105" s="9"/>
      <c r="AI105" s="9"/>
      <c r="AK105" s="9"/>
      <c r="AL105" s="9"/>
      <c r="AM105" s="9"/>
    </row>
    <row r="106" spans="1:39" s="7" customFormat="1" ht="12.75" customHeight="1">
      <c r="A106" s="73"/>
      <c r="B106" s="38" t="str">
        <f>B37</f>
        <v>Difference in means in a group comparison or post-only parallel-groups controlled trial</v>
      </c>
      <c r="C106" s="39"/>
      <c r="D106" s="40"/>
      <c r="E106" s="39"/>
      <c r="F106" s="40"/>
      <c r="G106" s="41"/>
      <c r="H106" s="41"/>
      <c r="I106" s="42"/>
      <c r="J106" s="42"/>
      <c r="K106" s="42"/>
      <c r="L106" s="42"/>
      <c r="M106" s="45" t="s">
        <v>43</v>
      </c>
      <c r="N106" s="42"/>
      <c r="O106" s="42"/>
      <c r="P106" s="42"/>
      <c r="Q106" s="42"/>
      <c r="R106" s="131"/>
      <c r="AE106" s="8"/>
      <c r="AF106" s="140"/>
      <c r="AG106" s="9"/>
      <c r="AH106" s="9"/>
      <c r="AI106" s="9"/>
      <c r="AK106" s="9"/>
      <c r="AL106" s="9"/>
      <c r="AM106" s="9"/>
    </row>
    <row r="107" spans="1:39" s="7" customFormat="1" ht="4.5" customHeight="1">
      <c r="A107" s="73"/>
      <c r="B107" s="38"/>
      <c r="C107" s="39"/>
      <c r="D107" s="40"/>
      <c r="E107" s="39"/>
      <c r="F107" s="40"/>
      <c r="G107" s="41"/>
      <c r="H107" s="41"/>
      <c r="I107" s="42"/>
      <c r="J107" s="42"/>
      <c r="K107" s="42"/>
      <c r="L107" s="42"/>
      <c r="M107" s="45"/>
      <c r="N107" s="42"/>
      <c r="O107" s="42"/>
      <c r="P107" s="42"/>
      <c r="Q107" s="42"/>
      <c r="R107" s="131"/>
      <c r="AE107" s="8"/>
      <c r="AF107" s="140"/>
      <c r="AG107" s="9"/>
      <c r="AH107" s="9"/>
      <c r="AI107" s="9"/>
      <c r="AK107" s="9"/>
      <c r="AL107" s="9"/>
      <c r="AM107" s="9"/>
    </row>
    <row r="108" spans="1:32" ht="12.75" customHeight="1">
      <c r="A108" s="138"/>
      <c r="B108" s="43"/>
      <c r="C108" s="282" t="s">
        <v>40</v>
      </c>
      <c r="D108" s="70"/>
      <c r="E108" s="282" t="s">
        <v>26</v>
      </c>
      <c r="F108" s="283" t="s">
        <v>27</v>
      </c>
      <c r="G108" s="286" t="s">
        <v>39</v>
      </c>
      <c r="H108" s="287"/>
      <c r="I108" s="44"/>
      <c r="J108" s="44"/>
      <c r="K108" s="43"/>
      <c r="L108" s="43"/>
      <c r="M108" s="302" t="s">
        <v>48</v>
      </c>
      <c r="N108" s="43"/>
      <c r="O108" s="43"/>
      <c r="P108" s="43"/>
      <c r="Q108" s="43"/>
      <c r="R108" s="138"/>
      <c r="T108" s="10"/>
      <c r="AB108" s="10"/>
      <c r="AD108" s="7"/>
      <c r="AE108" s="11"/>
      <c r="AF108" s="297" t="s">
        <v>7</v>
      </c>
    </row>
    <row r="109" spans="1:39" s="7" customFormat="1" ht="12.75" customHeight="1">
      <c r="A109" s="73"/>
      <c r="B109" s="40"/>
      <c r="C109" s="282"/>
      <c r="D109" s="71"/>
      <c r="E109" s="282"/>
      <c r="F109" s="284"/>
      <c r="G109" s="288"/>
      <c r="H109" s="289"/>
      <c r="I109" s="301" t="s">
        <v>10</v>
      </c>
      <c r="J109" s="301"/>
      <c r="K109" s="301"/>
      <c r="L109" s="42"/>
      <c r="M109" s="303"/>
      <c r="N109" s="137">
        <f>$N$88</f>
        <v>95</v>
      </c>
      <c r="O109" s="307" t="s">
        <v>11</v>
      </c>
      <c r="P109" s="308"/>
      <c r="Q109" s="107"/>
      <c r="R109" s="148"/>
      <c r="AE109" s="8"/>
      <c r="AF109" s="298"/>
      <c r="AG109" s="9"/>
      <c r="AH109" s="9"/>
      <c r="AI109" s="9"/>
      <c r="AK109" s="9"/>
      <c r="AL109" s="9"/>
      <c r="AM109" s="9"/>
    </row>
    <row r="110" spans="1:39" s="7" customFormat="1" ht="12.75">
      <c r="A110" s="73"/>
      <c r="B110" s="40"/>
      <c r="C110" s="282"/>
      <c r="D110" s="108"/>
      <c r="E110" s="282"/>
      <c r="F110" s="285"/>
      <c r="G110" s="74" t="s">
        <v>51</v>
      </c>
      <c r="H110" s="62" t="s">
        <v>52</v>
      </c>
      <c r="I110" s="22" t="s">
        <v>21</v>
      </c>
      <c r="J110" s="22" t="s">
        <v>82</v>
      </c>
      <c r="K110" s="22" t="s">
        <v>83</v>
      </c>
      <c r="L110" s="42"/>
      <c r="M110" s="303"/>
      <c r="N110" s="22" t="s">
        <v>14</v>
      </c>
      <c r="O110" s="22" t="s">
        <v>15</v>
      </c>
      <c r="P110" s="22" t="s">
        <v>16</v>
      </c>
      <c r="Q110" s="42"/>
      <c r="R110" s="131"/>
      <c r="AE110" s="8"/>
      <c r="AF110" s="299"/>
      <c r="AG110" s="349" t="s">
        <v>19</v>
      </c>
      <c r="AH110" s="350"/>
      <c r="AI110" s="351"/>
      <c r="AK110" s="9"/>
      <c r="AL110" s="9"/>
      <c r="AM110" s="9"/>
    </row>
    <row r="111" spans="1:39" s="7" customFormat="1" ht="13.5" customHeight="1">
      <c r="A111" s="73"/>
      <c r="B111" s="40"/>
      <c r="C111" s="215">
        <v>1</v>
      </c>
      <c r="D111" s="219"/>
      <c r="E111" s="215">
        <v>1</v>
      </c>
      <c r="F111" s="106">
        <v>50</v>
      </c>
      <c r="G111" s="125">
        <f>$G$88</f>
        <v>5</v>
      </c>
      <c r="H111" s="125">
        <f>$H$88</f>
        <v>20</v>
      </c>
      <c r="I111" s="101">
        <f>IF(E111/C111&lt;0.33,6,AF111*((TINV(G111/2*2/100,AJ111-2)+IF(H111&gt;50,-TINV(2-2*H111/100,AJ111-2),TINV(2*H111/100,AJ111-2)))/(C111))^2)</f>
        <v>33.47510538107208</v>
      </c>
      <c r="J111" s="24">
        <f>F111/100*I111</f>
        <v>16.73755269053604</v>
      </c>
      <c r="K111" s="24">
        <f>I111-J111</f>
        <v>16.73755269053604</v>
      </c>
      <c r="L111" s="46"/>
      <c r="M111" s="20">
        <f>(C111*TINV(G111/100,I111-2))/(TINV(G111/100,I111-2)+IF(H111&gt;50,-TINV(2-2*H111/100,I111-2),TINV(2*H111/100,I111-2)))</f>
        <v>0.7050105113870131</v>
      </c>
      <c r="N111" s="28">
        <f>M111-SQRT(AF111/I111)*TINV(1-N109/100,I111-2)</f>
        <v>0</v>
      </c>
      <c r="O111" s="28">
        <f>M111+SQRT(AF111/I111)*TINV(1-N109/100,I111-2)</f>
        <v>1.4100210227740262</v>
      </c>
      <c r="P111" s="28">
        <f>(O111-N111)/2</f>
        <v>0.7050105113870131</v>
      </c>
      <c r="Q111" s="109"/>
      <c r="R111" s="149"/>
      <c r="AE111" s="183"/>
      <c r="AF111" s="176">
        <f>E111^2/(F111/100*(1-F111/100))</f>
        <v>4</v>
      </c>
      <c r="AG111" s="176">
        <v>6</v>
      </c>
      <c r="AH111" s="176">
        <f>AF111*((TINV(G111/2*2/100,AG111-2)+IF(H111&gt;50,-TINV(2-2*H111/100,AG111-2),TINV(2*H111/100,AG111-2)))/C111)^2</f>
        <v>55.2765389881857</v>
      </c>
      <c r="AI111" s="176">
        <f>AF111*((TINV(G111/2*2/100,AH111-2)+IF(H111&gt;50,-TINV(2-2*H111/100,AH111-2),TINV(2*H111/100,AH111-2)))/C111)^2</f>
        <v>32.585871834126465</v>
      </c>
      <c r="AJ111" s="176">
        <f>AF111*((TINV(G111/2*2/100,AI111-2)+IF(H111&gt;50,-TINV(2-2*H111/100,AI111-2),TINV(2*H111/100,AI111-2)))/C111)^2</f>
        <v>33.54818418766411</v>
      </c>
      <c r="AK111" s="9"/>
      <c r="AL111" s="9"/>
      <c r="AM111" s="9"/>
    </row>
    <row r="112" spans="1:35" ht="22.5">
      <c r="A112" s="138"/>
      <c r="B112" s="43"/>
      <c r="C112" s="44"/>
      <c r="D112" s="44"/>
      <c r="E112" s="43"/>
      <c r="F112" s="265">
        <f>IF(E111/C111&lt;0.33,"Btwn-subj. SD &lt;0.33(smallest diff.). Sample size is set to 6.","")</f>
      </c>
      <c r="G112" s="23" t="str">
        <f>IF(G111&lt;=0.1,"negligible",IF(G111&lt;=0.5,"most unlikely",IF(G111&lt;=5,"very unlikely",IF(G111&lt;=25,"unlikely",IF(G111&lt;=50,"possible","not computed")))))</f>
        <v>very unlikely</v>
      </c>
      <c r="H112" s="23" t="str">
        <f>IF(H111&lt;=0.1,"negligible",IF(H111&lt;=0.5,"most unlikely",IF(H111&lt;=5,"very unlikely",IF(H111&lt;=25,"unlikely",IF(H111&lt;=75,"possible",IF(H111&lt;=95,"likely",IF(H111&lt;=99.5,"very likely","most likely")))))))</f>
        <v>unlikely</v>
      </c>
      <c r="I112" s="44"/>
      <c r="J112" s="44"/>
      <c r="K112" s="43"/>
      <c r="L112" s="43"/>
      <c r="M112" s="43"/>
      <c r="N112" s="43"/>
      <c r="O112" s="43"/>
      <c r="P112" s="43"/>
      <c r="Q112" s="43"/>
      <c r="R112" s="138"/>
      <c r="T112" s="10"/>
      <c r="AB112" s="10"/>
      <c r="AD112" s="7"/>
      <c r="AE112" s="11"/>
      <c r="AF112" s="175"/>
      <c r="AG112" s="9"/>
      <c r="AH112" s="186"/>
      <c r="AI112" s="186"/>
    </row>
    <row r="113" spans="1:39" s="7" customFormat="1" ht="6" customHeight="1">
      <c r="A113" s="73"/>
      <c r="B113" s="40"/>
      <c r="C113" s="40"/>
      <c r="D113" s="40"/>
      <c r="E113" s="40"/>
      <c r="F113" s="40"/>
      <c r="G113" s="47"/>
      <c r="H113" s="47"/>
      <c r="I113" s="40"/>
      <c r="J113" s="40"/>
      <c r="K113" s="40"/>
      <c r="L113" s="40"/>
      <c r="M113" s="40"/>
      <c r="N113" s="40"/>
      <c r="O113" s="40"/>
      <c r="P113" s="40"/>
      <c r="Q113" s="40"/>
      <c r="R113" s="73"/>
      <c r="AE113" s="9"/>
      <c r="AF113" s="178"/>
      <c r="AG113" s="9"/>
      <c r="AH113" s="194"/>
      <c r="AI113" s="194"/>
      <c r="AK113" s="9"/>
      <c r="AL113" s="9"/>
      <c r="AM113" s="9"/>
    </row>
    <row r="114" spans="1:39" s="7" customFormat="1" ht="12.75" customHeight="1">
      <c r="A114" s="73"/>
      <c r="B114" s="50" t="str">
        <f>B45</f>
        <v>Correlation in a cross-sectional study</v>
      </c>
      <c r="C114" s="51"/>
      <c r="D114" s="51"/>
      <c r="E114" s="52"/>
      <c r="F114" s="52"/>
      <c r="G114" s="53"/>
      <c r="H114" s="53"/>
      <c r="I114" s="54"/>
      <c r="J114" s="54"/>
      <c r="K114" s="54"/>
      <c r="L114" s="54"/>
      <c r="M114" s="75" t="s">
        <v>43</v>
      </c>
      <c r="N114" s="54"/>
      <c r="O114" s="54"/>
      <c r="P114" s="52"/>
      <c r="Q114" s="54"/>
      <c r="R114" s="131"/>
      <c r="AE114" s="8"/>
      <c r="AF114" s="140"/>
      <c r="AG114" s="9"/>
      <c r="AH114" s="186"/>
      <c r="AI114" s="186"/>
      <c r="AK114" s="9"/>
      <c r="AL114" s="9"/>
      <c r="AM114" s="9"/>
    </row>
    <row r="115" spans="1:39" s="7" customFormat="1" ht="6" customHeight="1">
      <c r="A115" s="73"/>
      <c r="B115" s="50"/>
      <c r="C115" s="51"/>
      <c r="D115" s="51"/>
      <c r="E115" s="52"/>
      <c r="F115" s="52"/>
      <c r="G115" s="53"/>
      <c r="H115" s="53"/>
      <c r="I115" s="54"/>
      <c r="J115" s="54"/>
      <c r="K115" s="54"/>
      <c r="L115" s="54"/>
      <c r="M115" s="75"/>
      <c r="N115" s="54"/>
      <c r="O115" s="54"/>
      <c r="P115" s="52"/>
      <c r="Q115" s="54"/>
      <c r="R115" s="131"/>
      <c r="AE115" s="8"/>
      <c r="AF115" s="140"/>
      <c r="AG115" s="9"/>
      <c r="AH115" s="186"/>
      <c r="AI115" s="186"/>
      <c r="AK115" s="9"/>
      <c r="AL115" s="9"/>
      <c r="AM115" s="9"/>
    </row>
    <row r="116" spans="1:35" ht="12.75" customHeight="1">
      <c r="A116" s="138"/>
      <c r="B116" s="56"/>
      <c r="C116" s="282" t="s">
        <v>41</v>
      </c>
      <c r="D116" s="110"/>
      <c r="E116" s="111"/>
      <c r="F116" s="64"/>
      <c r="G116" s="286" t="s">
        <v>39</v>
      </c>
      <c r="H116" s="287"/>
      <c r="I116" s="57"/>
      <c r="J116" s="57"/>
      <c r="K116" s="58"/>
      <c r="L116" s="58"/>
      <c r="M116" s="302" t="s">
        <v>49</v>
      </c>
      <c r="N116" s="58"/>
      <c r="O116" s="58"/>
      <c r="P116" s="58"/>
      <c r="Q116" s="58"/>
      <c r="R116" s="150"/>
      <c r="T116" s="10"/>
      <c r="AB116" s="10"/>
      <c r="AD116" s="7"/>
      <c r="AE116" s="197"/>
      <c r="AF116" s="297" t="s">
        <v>7</v>
      </c>
      <c r="AH116" s="185"/>
      <c r="AI116" s="185"/>
    </row>
    <row r="117" spans="1:39" s="7" customFormat="1" ht="12.75" customHeight="1">
      <c r="A117" s="73"/>
      <c r="B117" s="52"/>
      <c r="C117" s="282"/>
      <c r="D117" s="65"/>
      <c r="E117" s="52"/>
      <c r="F117" s="66"/>
      <c r="G117" s="288"/>
      <c r="H117" s="289"/>
      <c r="I117" s="354" t="s">
        <v>10</v>
      </c>
      <c r="J117" s="54"/>
      <c r="K117" s="59"/>
      <c r="L117" s="59"/>
      <c r="M117" s="303"/>
      <c r="N117" s="137">
        <f>$N$88</f>
        <v>95</v>
      </c>
      <c r="O117" s="307" t="s">
        <v>11</v>
      </c>
      <c r="P117" s="308"/>
      <c r="Q117" s="59"/>
      <c r="R117" s="151"/>
      <c r="AE117" s="198"/>
      <c r="AF117" s="298"/>
      <c r="AG117" s="9"/>
      <c r="AH117" s="185"/>
      <c r="AI117" s="185"/>
      <c r="AK117" s="9"/>
      <c r="AL117" s="9"/>
      <c r="AM117" s="9"/>
    </row>
    <row r="118" spans="1:39" s="7" customFormat="1" ht="12.75">
      <c r="A118" s="73"/>
      <c r="B118" s="52"/>
      <c r="C118" s="282"/>
      <c r="D118" s="65"/>
      <c r="E118" s="52"/>
      <c r="F118" s="66"/>
      <c r="G118" s="74" t="s">
        <v>51</v>
      </c>
      <c r="H118" s="62" t="s">
        <v>52</v>
      </c>
      <c r="I118" s="309"/>
      <c r="J118" s="54"/>
      <c r="K118" s="54"/>
      <c r="L118" s="54"/>
      <c r="M118" s="303"/>
      <c r="N118" s="22" t="s">
        <v>14</v>
      </c>
      <c r="O118" s="22" t="s">
        <v>15</v>
      </c>
      <c r="P118" s="62" t="s">
        <v>53</v>
      </c>
      <c r="Q118" s="54"/>
      <c r="R118" s="131"/>
      <c r="AE118" s="8"/>
      <c r="AF118" s="299"/>
      <c r="AG118" s="9"/>
      <c r="AH118" s="185"/>
      <c r="AI118" s="185"/>
      <c r="AK118" s="9"/>
      <c r="AL118" s="9"/>
      <c r="AM118" s="9"/>
    </row>
    <row r="119" spans="1:39" s="7" customFormat="1" ht="13.5" customHeight="1">
      <c r="A119" s="73"/>
      <c r="B119" s="52"/>
      <c r="C119" s="21">
        <v>0.1</v>
      </c>
      <c r="D119" s="67"/>
      <c r="E119" s="112"/>
      <c r="F119" s="68"/>
      <c r="G119" s="125">
        <f>$G$88</f>
        <v>5</v>
      </c>
      <c r="H119" s="125">
        <f>$H$88</f>
        <v>20</v>
      </c>
      <c r="I119" s="101">
        <f>AF119*((NORMSINV(1-G119/2/100)+NORMSINV(1-H119/100))/(FISHER(C119)))^2+3</f>
        <v>782.6501276111056</v>
      </c>
      <c r="J119" s="60"/>
      <c r="K119" s="60"/>
      <c r="L119" s="60"/>
      <c r="M119" s="20">
        <f>FISHERINV((FISHER(C119)*NORMSINV(1-G119/100/2))/(NORMSINV(1-G119/100/2)+NORMSINV(1-H119/100)))</f>
        <v>0.07007865431297197</v>
      </c>
      <c r="N119" s="28">
        <f>FISHERINV(FISHER(M119)+SQRT(AF119/(I119-3))*NORMSINV((1-N117/100)/2))</f>
        <v>0</v>
      </c>
      <c r="O119" s="28">
        <f>FISHERINV(FISHER(M119)+SQRT(AF119/(I119-3))*NORMSINV(1-(1-N117/100)/2))</f>
        <v>0.13947235739750732</v>
      </c>
      <c r="P119" s="28">
        <f>(O119-N119)/2</f>
        <v>0.06973617869875366</v>
      </c>
      <c r="Q119" s="60"/>
      <c r="R119" s="149"/>
      <c r="AE119" s="199"/>
      <c r="AF119" s="176">
        <v>1</v>
      </c>
      <c r="AG119" s="9"/>
      <c r="AH119" s="195"/>
      <c r="AI119" s="195"/>
      <c r="AK119" s="9"/>
      <c r="AL119" s="9"/>
      <c r="AM119" s="9"/>
    </row>
    <row r="120" spans="1:36" ht="22.5">
      <c r="A120" s="138"/>
      <c r="B120" s="56"/>
      <c r="C120" s="57"/>
      <c r="D120" s="57"/>
      <c r="E120" s="56"/>
      <c r="F120" s="56"/>
      <c r="G120" s="23" t="str">
        <f>IF(G119&lt;=0.1,"negligible",IF(G119&lt;=0.5,"most unlikely",IF(G119&lt;=5,"very unlikely",IF(G119&lt;=25,"unlikely",IF(G119&lt;=50,"possible","not computed")))))</f>
        <v>very unlikely</v>
      </c>
      <c r="H120" s="23" t="str">
        <f>IF(H119&lt;=0.1,"negligible",IF(H119&lt;=0.5,"most unlikely",IF(H119&lt;=5,"very unlikely",IF(H119&lt;=25,"unlikely",IF(H119&lt;=75,"possible",IF(H119&lt;=95,"likely",IF(H119&lt;=99.5,"very likely","most likely")))))))</f>
        <v>unlikely</v>
      </c>
      <c r="I120" s="57"/>
      <c r="J120" s="57"/>
      <c r="K120" s="56"/>
      <c r="L120" s="56"/>
      <c r="M120" s="56"/>
      <c r="N120" s="56"/>
      <c r="O120" s="56"/>
      <c r="P120" s="56"/>
      <c r="Q120" s="56"/>
      <c r="R120" s="138"/>
      <c r="T120" s="10"/>
      <c r="AB120" s="10"/>
      <c r="AD120" s="7"/>
      <c r="AE120" s="11"/>
      <c r="AF120" s="10"/>
      <c r="AG120" s="9"/>
      <c r="AH120" s="186"/>
      <c r="AI120" s="186"/>
      <c r="AJ120" s="175"/>
    </row>
    <row r="121" spans="1:36" ht="7.5" customHeight="1">
      <c r="A121" s="138"/>
      <c r="B121" s="56"/>
      <c r="C121" s="52"/>
      <c r="D121" s="52"/>
      <c r="E121" s="52"/>
      <c r="F121" s="52"/>
      <c r="G121" s="113"/>
      <c r="H121" s="113"/>
      <c r="I121" s="56"/>
      <c r="J121" s="56"/>
      <c r="K121" s="56"/>
      <c r="L121" s="56"/>
      <c r="M121" s="56"/>
      <c r="N121" s="52"/>
      <c r="O121" s="52"/>
      <c r="P121" s="52"/>
      <c r="Q121" s="56"/>
      <c r="R121" s="138"/>
      <c r="T121" s="10"/>
      <c r="AB121" s="10"/>
      <c r="AD121" s="7"/>
      <c r="AE121" s="11"/>
      <c r="AF121" s="7"/>
      <c r="AG121" s="9"/>
      <c r="AH121" s="194"/>
      <c r="AI121" s="194"/>
      <c r="AJ121" s="177"/>
    </row>
    <row r="122" spans="1:36" ht="12.75">
      <c r="A122" s="138"/>
      <c r="B122" s="220" t="str">
        <f>B53</f>
        <v>Count ratio in a prospective cohort study, group comparison, or post-only parallel-groups controlled trial</v>
      </c>
      <c r="C122" s="221"/>
      <c r="D122" s="221"/>
      <c r="E122" s="221"/>
      <c r="F122" s="221"/>
      <c r="G122" s="223"/>
      <c r="H122" s="223"/>
      <c r="I122" s="221"/>
      <c r="J122" s="221"/>
      <c r="K122" s="221"/>
      <c r="L122" s="221"/>
      <c r="M122" s="224"/>
      <c r="N122" s="221"/>
      <c r="O122" s="221"/>
      <c r="P122" s="221"/>
      <c r="Q122" s="221"/>
      <c r="R122" s="138"/>
      <c r="T122" s="10"/>
      <c r="AB122" s="10"/>
      <c r="AD122" s="7"/>
      <c r="AE122" s="11"/>
      <c r="AF122" s="7"/>
      <c r="AG122" s="9"/>
      <c r="AH122" s="194"/>
      <c r="AI122" s="194"/>
      <c r="AJ122" s="177"/>
    </row>
    <row r="123" spans="1:36" ht="6.75" customHeight="1">
      <c r="A123" s="138"/>
      <c r="B123" s="220"/>
      <c r="C123" s="221"/>
      <c r="D123" s="221"/>
      <c r="E123" s="221"/>
      <c r="F123" s="221"/>
      <c r="G123" s="223"/>
      <c r="H123" s="223"/>
      <c r="I123" s="221"/>
      <c r="J123" s="221"/>
      <c r="K123" s="221"/>
      <c r="L123" s="221"/>
      <c r="M123" s="224"/>
      <c r="N123" s="221"/>
      <c r="O123" s="221"/>
      <c r="P123" s="221"/>
      <c r="Q123" s="221"/>
      <c r="R123" s="138"/>
      <c r="T123" s="10"/>
      <c r="AB123" s="10"/>
      <c r="AD123" s="7"/>
      <c r="AE123" s="11"/>
      <c r="AF123" s="7"/>
      <c r="AG123" s="9"/>
      <c r="AH123" s="194"/>
      <c r="AI123" s="194"/>
      <c r="AJ123" s="177"/>
    </row>
    <row r="124" spans="1:36" ht="13.5" customHeight="1">
      <c r="A124" s="138"/>
      <c r="B124" s="220"/>
      <c r="C124" s="290" t="s">
        <v>95</v>
      </c>
      <c r="D124" s="291"/>
      <c r="E124" s="49">
        <v>10</v>
      </c>
      <c r="F124" s="224" t="s">
        <v>104</v>
      </c>
      <c r="G124" s="223"/>
      <c r="H124" s="223"/>
      <c r="I124" s="221"/>
      <c r="J124" s="221"/>
      <c r="K124" s="221"/>
      <c r="L124" s="221"/>
      <c r="M124" s="224"/>
      <c r="N124" s="221"/>
      <c r="O124" s="221"/>
      <c r="P124" s="221"/>
      <c r="Q124" s="221"/>
      <c r="R124" s="138"/>
      <c r="T124" s="10"/>
      <c r="AB124" s="10"/>
      <c r="AD124" s="7"/>
      <c r="AE124" s="11"/>
      <c r="AF124" s="7"/>
      <c r="AG124" s="9"/>
      <c r="AH124" s="194"/>
      <c r="AI124" s="194"/>
      <c r="AJ124" s="177"/>
    </row>
    <row r="125" spans="1:36" ht="12" customHeight="1">
      <c r="A125" s="138"/>
      <c r="B125" s="220"/>
      <c r="C125" s="292"/>
      <c r="D125" s="293"/>
      <c r="E125" s="233"/>
      <c r="F125" s="222"/>
      <c r="G125" s="223"/>
      <c r="H125" s="223"/>
      <c r="I125" s="221"/>
      <c r="J125" s="221"/>
      <c r="K125" s="221"/>
      <c r="L125" s="221"/>
      <c r="M125" s="224"/>
      <c r="N125" s="221"/>
      <c r="O125" s="221"/>
      <c r="P125" s="221"/>
      <c r="Q125" s="221"/>
      <c r="R125" s="138"/>
      <c r="T125" s="10"/>
      <c r="AB125" s="10"/>
      <c r="AD125" s="7"/>
      <c r="AE125" s="11"/>
      <c r="AF125" s="7"/>
      <c r="AG125" s="9"/>
      <c r="AH125" s="194"/>
      <c r="AI125" s="194"/>
      <c r="AJ125" s="177"/>
    </row>
    <row r="126" spans="1:36" ht="12.75" customHeight="1">
      <c r="A126" s="138"/>
      <c r="B126" s="220"/>
      <c r="C126" s="221"/>
      <c r="D126" s="221"/>
      <c r="E126" s="283" t="s">
        <v>103</v>
      </c>
      <c r="F126" s="282" t="s">
        <v>85</v>
      </c>
      <c r="G126" s="223"/>
      <c r="H126" s="223"/>
      <c r="I126" s="221"/>
      <c r="J126" s="221"/>
      <c r="K126" s="221"/>
      <c r="L126" s="221"/>
      <c r="M126" s="224" t="s">
        <v>43</v>
      </c>
      <c r="N126" s="221"/>
      <c r="O126" s="221"/>
      <c r="P126" s="221"/>
      <c r="Q126" s="221"/>
      <c r="R126" s="138"/>
      <c r="T126" s="10"/>
      <c r="AB126" s="10"/>
      <c r="AD126" s="7"/>
      <c r="AE126" s="11"/>
      <c r="AF126" s="7"/>
      <c r="AG126" s="9"/>
      <c r="AH126" s="194"/>
      <c r="AI126" s="194"/>
      <c r="AJ126" s="177"/>
    </row>
    <row r="127" spans="1:35" ht="12.75" customHeight="1">
      <c r="A127" s="138"/>
      <c r="B127" s="221"/>
      <c r="C127" s="282" t="s">
        <v>75</v>
      </c>
      <c r="D127" s="226"/>
      <c r="E127" s="284"/>
      <c r="F127" s="282"/>
      <c r="G127" s="286" t="s">
        <v>39</v>
      </c>
      <c r="H127" s="287"/>
      <c r="I127" s="301" t="s">
        <v>10</v>
      </c>
      <c r="J127" s="301"/>
      <c r="K127" s="301"/>
      <c r="L127" s="225"/>
      <c r="M127" s="302" t="s">
        <v>74</v>
      </c>
      <c r="N127" s="225"/>
      <c r="O127" s="225"/>
      <c r="P127" s="225"/>
      <c r="Q127" s="225"/>
      <c r="R127" s="131"/>
      <c r="T127" s="10"/>
      <c r="AB127" s="10"/>
      <c r="AD127" s="7"/>
      <c r="AE127" s="8"/>
      <c r="AF127" s="297" t="s">
        <v>7</v>
      </c>
      <c r="AG127" s="9"/>
      <c r="AH127" s="185"/>
      <c r="AI127" s="185"/>
    </row>
    <row r="128" spans="1:35" ht="12.75" customHeight="1">
      <c r="A128" s="138"/>
      <c r="B128" s="221"/>
      <c r="C128" s="282"/>
      <c r="D128" s="227"/>
      <c r="E128" s="284"/>
      <c r="F128" s="282"/>
      <c r="G128" s="288"/>
      <c r="H128" s="289"/>
      <c r="I128" s="294" t="s">
        <v>31</v>
      </c>
      <c r="J128" s="300" t="s">
        <v>81</v>
      </c>
      <c r="K128" s="300"/>
      <c r="L128" s="225"/>
      <c r="M128" s="303"/>
      <c r="N128" s="137">
        <f>$N$88</f>
        <v>95</v>
      </c>
      <c r="O128" s="307" t="s">
        <v>11</v>
      </c>
      <c r="P128" s="308"/>
      <c r="Q128" s="225"/>
      <c r="R128" s="131"/>
      <c r="T128" s="10"/>
      <c r="AB128" s="10"/>
      <c r="AD128" s="7"/>
      <c r="AE128" s="8"/>
      <c r="AF128" s="298"/>
      <c r="AH128" s="185"/>
      <c r="AI128" s="185"/>
    </row>
    <row r="129" spans="1:35" ht="13.5" customHeight="1">
      <c r="A129" s="138"/>
      <c r="B129" s="221"/>
      <c r="C129" s="282"/>
      <c r="D129" s="227"/>
      <c r="E129" s="285"/>
      <c r="F129" s="282"/>
      <c r="G129" s="74" t="s">
        <v>51</v>
      </c>
      <c r="H129" s="62" t="s">
        <v>52</v>
      </c>
      <c r="I129" s="295"/>
      <c r="J129" s="22" t="s">
        <v>82</v>
      </c>
      <c r="K129" s="22" t="s">
        <v>83</v>
      </c>
      <c r="L129" s="225"/>
      <c r="M129" s="303"/>
      <c r="N129" s="22" t="s">
        <v>14</v>
      </c>
      <c r="O129" s="22" t="s">
        <v>15</v>
      </c>
      <c r="P129" s="22" t="s">
        <v>69</v>
      </c>
      <c r="Q129" s="225"/>
      <c r="R129" s="131"/>
      <c r="T129" s="10"/>
      <c r="AB129" s="10"/>
      <c r="AD129" s="7"/>
      <c r="AE129" s="8"/>
      <c r="AF129" s="299"/>
      <c r="AH129" s="185"/>
      <c r="AI129" s="185"/>
    </row>
    <row r="130" spans="1:35" ht="13.5" customHeight="1">
      <c r="A130" s="138"/>
      <c r="B130" s="221"/>
      <c r="C130" s="21">
        <v>1.1</v>
      </c>
      <c r="D130" s="228"/>
      <c r="E130" s="49">
        <v>4</v>
      </c>
      <c r="F130" s="106">
        <v>50</v>
      </c>
      <c r="G130" s="125">
        <f>$G$88</f>
        <v>5</v>
      </c>
      <c r="H130" s="125">
        <f>$H$88</f>
        <v>20</v>
      </c>
      <c r="I130" s="101">
        <f>AF130*((NORMSINV(1-G130/2/100)+NORMSINV(1-H130/100))/LN(C130))^2</f>
        <v>515.0134917586645</v>
      </c>
      <c r="J130" s="24">
        <f>F130/100*I130</f>
        <v>257.50674587933224</v>
      </c>
      <c r="K130" s="24">
        <f>I130-J130</f>
        <v>257.50674587933224</v>
      </c>
      <c r="L130" s="230"/>
      <c r="M130" s="20">
        <f>EXP((LN(C130)*NORMSINV(1-G130/100/2))/(NORMSINV(1-G130/100/2)+NORMSINV(1-H130/100)))</f>
        <v>1.0689513809412068</v>
      </c>
      <c r="N130" s="28">
        <f>EXP(LN(M130)+SQRT(AF130/I130)*NORMSINV((1-N128/100)/2))</f>
        <v>0.9999999999999999</v>
      </c>
      <c r="O130" s="28">
        <f>EXP(LN(M130)+SQRT(AF130/I130)*NORMSINV(1-(1-N128/100)/2))</f>
        <v>1.142657054816113</v>
      </c>
      <c r="P130" s="28">
        <f>SQRT(O130/N130)</f>
        <v>1.068951380941207</v>
      </c>
      <c r="Q130" s="231"/>
      <c r="R130" s="152"/>
      <c r="T130" s="10"/>
      <c r="AB130" s="10"/>
      <c r="AD130" s="7"/>
      <c r="AE130" s="183"/>
      <c r="AF130" s="246">
        <f>(1+1/SQRT(E124))*(LN(1+E130/E124))^2/(F130/100*(1-F130/100))</f>
        <v>0.5960593563247989</v>
      </c>
      <c r="AH130" s="195"/>
      <c r="AI130" s="195"/>
    </row>
    <row r="131" spans="1:35" ht="22.5">
      <c r="A131" s="138"/>
      <c r="B131" s="221"/>
      <c r="C131" s="221"/>
      <c r="D131" s="221"/>
      <c r="E131" s="221"/>
      <c r="F131" s="221"/>
      <c r="G131" s="23" t="str">
        <f>IF(G130&lt;=0.1,"negligible",IF(G130&lt;=0.5,"most unlikely",IF(G130&lt;=5,"very unlikely",IF(G130&lt;=25,"unlikely",IF(G130&lt;=50,"possible","not computed")))))</f>
        <v>very unlikely</v>
      </c>
      <c r="H131" s="23" t="str">
        <f>IF(H130&lt;=0.1,"negligible",IF(H130&lt;=0.5,"most unlikely",IF(H130&lt;=5,"very unlikely",IF(H130&lt;=25,"unlikely",IF(H130&lt;=75,"possible",IF(H130&lt;=95,"likely",IF(H130&lt;=99.5,"very likely","most likely")))))))</f>
        <v>unlikely</v>
      </c>
      <c r="I131" s="221"/>
      <c r="J131" s="221"/>
      <c r="K131" s="221"/>
      <c r="L131" s="221"/>
      <c r="M131" s="221"/>
      <c r="N131" s="229"/>
      <c r="O131" s="229"/>
      <c r="P131" s="221"/>
      <c r="Q131" s="221"/>
      <c r="R131" s="138"/>
      <c r="T131" s="10"/>
      <c r="AB131" s="10"/>
      <c r="AD131" s="7"/>
      <c r="AE131" s="11"/>
      <c r="AF131" s="177"/>
      <c r="AH131" s="186"/>
      <c r="AI131" s="186"/>
    </row>
    <row r="132" spans="1:39" ht="7.5" customHeight="1">
      <c r="A132" s="138"/>
      <c r="B132" s="221"/>
      <c r="C132" s="221"/>
      <c r="D132" s="221"/>
      <c r="E132" s="221"/>
      <c r="F132" s="221"/>
      <c r="G132" s="223"/>
      <c r="H132" s="223"/>
      <c r="I132" s="221"/>
      <c r="J132" s="221"/>
      <c r="K132" s="221"/>
      <c r="L132" s="221"/>
      <c r="M132" s="221"/>
      <c r="N132" s="229"/>
      <c r="O132" s="229"/>
      <c r="P132" s="229"/>
      <c r="Q132" s="221"/>
      <c r="R132" s="138"/>
      <c r="U132" s="11"/>
      <c r="V132" s="177"/>
      <c r="W132" s="9"/>
      <c r="X132" s="194"/>
      <c r="Y132" s="194"/>
      <c r="Z132" s="11"/>
      <c r="AA132" s="11"/>
      <c r="AB132" s="11"/>
      <c r="AC132" s="11"/>
      <c r="AD132" s="10"/>
      <c r="AE132" s="10"/>
      <c r="AF132" s="10"/>
      <c r="AG132" s="10"/>
      <c r="AH132" s="10"/>
      <c r="AI132" s="10"/>
      <c r="AJ132" s="10"/>
      <c r="AK132" s="10"/>
      <c r="AL132" s="10"/>
      <c r="AM132" s="10"/>
    </row>
    <row r="133" spans="1:36" ht="12.75">
      <c r="A133" s="138"/>
      <c r="B133" s="76" t="s">
        <v>109</v>
      </c>
      <c r="C133" s="77"/>
      <c r="D133" s="77"/>
      <c r="E133" s="77"/>
      <c r="F133" s="77"/>
      <c r="G133" s="83"/>
      <c r="H133" s="83"/>
      <c r="I133" s="77"/>
      <c r="J133" s="77"/>
      <c r="K133" s="77"/>
      <c r="L133" s="77"/>
      <c r="M133" s="78"/>
      <c r="N133" s="77"/>
      <c r="O133" s="77"/>
      <c r="P133" s="77"/>
      <c r="Q133" s="77"/>
      <c r="R133" s="138"/>
      <c r="T133" s="10"/>
      <c r="AB133" s="10"/>
      <c r="AD133" s="7"/>
      <c r="AE133" s="11"/>
      <c r="AF133" s="7"/>
      <c r="AG133" s="9"/>
      <c r="AH133" s="194"/>
      <c r="AI133" s="194"/>
      <c r="AJ133" s="177"/>
    </row>
    <row r="134" spans="1:36" ht="6" customHeight="1">
      <c r="A134" s="138"/>
      <c r="B134" s="76"/>
      <c r="C134" s="77"/>
      <c r="D134" s="77"/>
      <c r="E134" s="77"/>
      <c r="F134" s="77"/>
      <c r="G134" s="83"/>
      <c r="H134" s="83"/>
      <c r="I134" s="77"/>
      <c r="J134" s="77"/>
      <c r="K134" s="77"/>
      <c r="L134" s="77"/>
      <c r="M134" s="78"/>
      <c r="N134" s="77"/>
      <c r="O134" s="77"/>
      <c r="P134" s="77"/>
      <c r="Q134" s="77"/>
      <c r="R134" s="138"/>
      <c r="T134" s="10"/>
      <c r="AB134" s="10"/>
      <c r="AD134" s="7"/>
      <c r="AE134" s="11"/>
      <c r="AF134" s="7"/>
      <c r="AG134" s="9"/>
      <c r="AH134" s="194"/>
      <c r="AI134" s="194"/>
      <c r="AJ134" s="177"/>
    </row>
    <row r="135" spans="1:36" ht="12.75" customHeight="1">
      <c r="A135" s="138"/>
      <c r="B135" s="76"/>
      <c r="C135" s="77"/>
      <c r="D135" s="77"/>
      <c r="E135" s="282" t="s">
        <v>84</v>
      </c>
      <c r="F135" s="282" t="s">
        <v>85</v>
      </c>
      <c r="G135" s="83"/>
      <c r="H135" s="353" t="s">
        <v>102</v>
      </c>
      <c r="I135" s="77"/>
      <c r="J135" s="77"/>
      <c r="K135" s="77"/>
      <c r="L135" s="77"/>
      <c r="M135" s="78"/>
      <c r="N135" s="77"/>
      <c r="O135" s="77"/>
      <c r="P135" s="77"/>
      <c r="Q135" s="77"/>
      <c r="R135" s="138"/>
      <c r="T135" s="10"/>
      <c r="AB135" s="10"/>
      <c r="AD135" s="7"/>
      <c r="AE135" s="11"/>
      <c r="AF135" s="7"/>
      <c r="AG135" s="9"/>
      <c r="AH135" s="194"/>
      <c r="AI135" s="194"/>
      <c r="AJ135" s="177"/>
    </row>
    <row r="136" spans="1:36" ht="12.75">
      <c r="A136" s="138"/>
      <c r="B136" s="76"/>
      <c r="C136" s="282" t="s">
        <v>94</v>
      </c>
      <c r="D136" s="77"/>
      <c r="E136" s="282"/>
      <c r="F136" s="282"/>
      <c r="G136" s="83"/>
      <c r="H136" s="353"/>
      <c r="I136" s="244">
        <f>IF(ISNUMBER(C141),(E141+C141)/(100-E141-C141)/((E141)/(100-E141)),IF(ISNUMBER(C140),C140,IF(ISNUMBER(C139),(1-(1-E141/100)^C139)/(1-E141/100)^C139/(E141/(100-E141)),IF(ISNUMBER(C138),C138*(1-E141/100)/(1-C138*E141/100),""))))</f>
        <v>1.2471910112359552</v>
      </c>
      <c r="J136" s="77"/>
      <c r="K136" s="77"/>
      <c r="L136" s="77"/>
      <c r="M136" s="78"/>
      <c r="N136" s="77"/>
      <c r="O136" s="77"/>
      <c r="P136" s="77"/>
      <c r="Q136" s="77"/>
      <c r="R136" s="138"/>
      <c r="T136" s="10"/>
      <c r="AB136" s="10"/>
      <c r="AD136" s="7"/>
      <c r="AE136" s="11"/>
      <c r="AF136" s="7"/>
      <c r="AG136" s="9"/>
      <c r="AH136" s="194"/>
      <c r="AI136" s="194"/>
      <c r="AJ136" s="177"/>
    </row>
    <row r="137" spans="1:36" ht="12.75">
      <c r="A137" s="138"/>
      <c r="B137" s="76"/>
      <c r="C137" s="282"/>
      <c r="D137" s="77"/>
      <c r="E137" s="282"/>
      <c r="F137" s="282"/>
      <c r="G137" s="83"/>
      <c r="H137" s="83"/>
      <c r="I137" s="77"/>
      <c r="J137" s="77"/>
      <c r="K137" s="77"/>
      <c r="L137" s="77"/>
      <c r="M137" s="78" t="s">
        <v>43</v>
      </c>
      <c r="N137" s="77"/>
      <c r="O137" s="77"/>
      <c r="P137" s="77"/>
      <c r="Q137" s="77"/>
      <c r="R137" s="138"/>
      <c r="T137" s="10"/>
      <c r="AB137" s="10"/>
      <c r="AD137" s="7"/>
      <c r="AE137" s="11"/>
      <c r="AF137" s="7"/>
      <c r="AG137" s="9"/>
      <c r="AH137" s="194"/>
      <c r="AI137" s="194"/>
      <c r="AJ137" s="177"/>
    </row>
    <row r="138" spans="1:35" ht="13.5" customHeight="1">
      <c r="A138" s="138"/>
      <c r="B138" s="242" t="s">
        <v>78</v>
      </c>
      <c r="C138" s="240">
        <v>1.11</v>
      </c>
      <c r="D138" s="114"/>
      <c r="E138" s="282"/>
      <c r="F138" s="282"/>
      <c r="G138" s="286" t="s">
        <v>39</v>
      </c>
      <c r="H138" s="287"/>
      <c r="I138" s="301" t="s">
        <v>10</v>
      </c>
      <c r="J138" s="301"/>
      <c r="K138" s="301"/>
      <c r="L138" s="80"/>
      <c r="M138" s="302" t="s">
        <v>50</v>
      </c>
      <c r="N138" s="80"/>
      <c r="O138" s="80"/>
      <c r="P138" s="80"/>
      <c r="Q138" s="80"/>
      <c r="R138" s="131"/>
      <c r="T138" s="10"/>
      <c r="AB138" s="10"/>
      <c r="AD138" s="7"/>
      <c r="AE138" s="8"/>
      <c r="AF138" s="297" t="s">
        <v>7</v>
      </c>
      <c r="AG138" s="9"/>
      <c r="AH138" s="185"/>
      <c r="AI138" s="185"/>
    </row>
    <row r="139" spans="1:35" ht="13.5" customHeight="1">
      <c r="A139" s="138"/>
      <c r="B139" s="241" t="s">
        <v>76</v>
      </c>
      <c r="C139" s="240"/>
      <c r="D139" s="115"/>
      <c r="E139" s="282"/>
      <c r="F139" s="282"/>
      <c r="G139" s="288"/>
      <c r="H139" s="289"/>
      <c r="I139" s="294" t="s">
        <v>31</v>
      </c>
      <c r="J139" s="300" t="s">
        <v>81</v>
      </c>
      <c r="K139" s="300"/>
      <c r="L139" s="80"/>
      <c r="M139" s="303"/>
      <c r="N139" s="137">
        <f>$N$88</f>
        <v>95</v>
      </c>
      <c r="O139" s="307" t="s">
        <v>11</v>
      </c>
      <c r="P139" s="308"/>
      <c r="Q139" s="80"/>
      <c r="R139" s="131"/>
      <c r="T139" s="10"/>
      <c r="AB139" s="10"/>
      <c r="AD139" s="7"/>
      <c r="AE139" s="8"/>
      <c r="AF139" s="298"/>
      <c r="AH139" s="185"/>
      <c r="AI139" s="185"/>
    </row>
    <row r="140" spans="1:35" ht="13.5" customHeight="1">
      <c r="A140" s="138"/>
      <c r="B140" s="241" t="s">
        <v>77</v>
      </c>
      <c r="C140" s="240"/>
      <c r="D140" s="115"/>
      <c r="E140" s="282"/>
      <c r="F140" s="282"/>
      <c r="G140" s="74" t="s">
        <v>51</v>
      </c>
      <c r="H140" s="62" t="s">
        <v>52</v>
      </c>
      <c r="I140" s="295"/>
      <c r="J140" s="22" t="s">
        <v>82</v>
      </c>
      <c r="K140" s="22" t="s">
        <v>83</v>
      </c>
      <c r="L140" s="80"/>
      <c r="M140" s="303"/>
      <c r="N140" s="22" t="s">
        <v>14</v>
      </c>
      <c r="O140" s="22" t="s">
        <v>15</v>
      </c>
      <c r="P140" s="22" t="s">
        <v>69</v>
      </c>
      <c r="Q140" s="80"/>
      <c r="R140" s="131"/>
      <c r="T140" s="10"/>
      <c r="AB140" s="10"/>
      <c r="AD140" s="7"/>
      <c r="AE140" s="8"/>
      <c r="AF140" s="299"/>
      <c r="AH140" s="185"/>
      <c r="AI140" s="185"/>
    </row>
    <row r="141" spans="1:35" ht="13.5" customHeight="1">
      <c r="A141" s="138"/>
      <c r="B141" s="239" t="s">
        <v>87</v>
      </c>
      <c r="C141" s="240"/>
      <c r="D141" s="116"/>
      <c r="E141" s="49">
        <v>50</v>
      </c>
      <c r="F141" s="106">
        <v>50</v>
      </c>
      <c r="G141" s="125">
        <f>$G$88</f>
        <v>5</v>
      </c>
      <c r="H141" s="125">
        <f>$H$88</f>
        <v>20</v>
      </c>
      <c r="I141" s="101">
        <f>AF141*((NORMSINV(1-G141/2/100)+NORMSINV(1-H141/100))/LN(I136))^2</f>
        <v>2589.47685122272</v>
      </c>
      <c r="J141" s="24">
        <f>F141/100*I141</f>
        <v>1294.73842561136</v>
      </c>
      <c r="K141" s="24">
        <f>I141-J141</f>
        <v>1294.73842561136</v>
      </c>
      <c r="L141" s="81"/>
      <c r="M141" s="20">
        <f>EXP((LN(I136)*NORMSINV(1-G141/100/2))/(NORMSINV(1-G141/100/2)+NORMSINV(1-H141/100)))</f>
        <v>1.1671155357240788</v>
      </c>
      <c r="N141" s="28">
        <f>EXP(LN(M141)+SQRT(AF141/I141)*NORMSINV((1-N139/100)/2))</f>
        <v>1</v>
      </c>
      <c r="O141" s="28">
        <f>EXP(LN(M141)+SQRT(AF141/I141)*NORMSINV(1-(1-N139/100)/2))</f>
        <v>1.3621586737285034</v>
      </c>
      <c r="P141" s="28">
        <f>SQRT(O141/N141)</f>
        <v>1.1671155357240788</v>
      </c>
      <c r="Q141" s="117"/>
      <c r="R141" s="152"/>
      <c r="T141" s="10"/>
      <c r="AB141" s="10"/>
      <c r="AD141" s="7"/>
      <c r="AE141" s="183"/>
      <c r="AF141" s="176">
        <f>(1/(F141/100))*(1+1/(I136*E141/(100-E141))+1+I136*E141/(100-E141))+(1/(1-F141/100))*(1/(E141/100)+1/(1-E141/100))</f>
        <v>16.097985626075513</v>
      </c>
      <c r="AH141" s="195"/>
      <c r="AI141" s="195"/>
    </row>
    <row r="142" spans="1:35" ht="22.5">
      <c r="A142" s="138"/>
      <c r="B142" s="77"/>
      <c r="C142" s="243">
        <f>IF(COUNTA(C138:C141)=1,"","Error: show only one effect")</f>
      </c>
      <c r="D142" s="77"/>
      <c r="E142" s="77"/>
      <c r="F142" s="77"/>
      <c r="G142" s="23" t="str">
        <f>IF(G141&lt;=0.1,"negligible",IF(G141&lt;=0.5,"most unlikely",IF(G141&lt;=5,"very unlikely",IF(G141&lt;=25,"unlikely",IF(G141&lt;=50,"possible","not computed")))))</f>
        <v>very unlikely</v>
      </c>
      <c r="H142" s="23" t="str">
        <f>IF(H141&lt;=0.1,"negligible",IF(H141&lt;=0.5,"most unlikely",IF(H141&lt;=5,"very unlikely",IF(H141&lt;=25,"unlikely",IF(H141&lt;=75,"possible",IF(H141&lt;=95,"likely",IF(H141&lt;=99.5,"very likely","most likely")))))))</f>
        <v>unlikely</v>
      </c>
      <c r="I142" s="77"/>
      <c r="J142" s="77"/>
      <c r="K142" s="77"/>
      <c r="L142" s="77"/>
      <c r="M142" s="77"/>
      <c r="N142" s="82"/>
      <c r="O142" s="82"/>
      <c r="P142" s="77"/>
      <c r="Q142" s="77"/>
      <c r="R142" s="138"/>
      <c r="T142" s="10"/>
      <c r="AB142" s="10"/>
      <c r="AD142" s="7"/>
      <c r="AE142" s="11"/>
      <c r="AF142" s="177"/>
      <c r="AH142" s="186"/>
      <c r="AI142" s="186"/>
    </row>
    <row r="143" spans="1:35" ht="7.5" customHeight="1">
      <c r="A143" s="138"/>
      <c r="B143" s="77"/>
      <c r="C143" s="77"/>
      <c r="D143" s="77"/>
      <c r="E143" s="77"/>
      <c r="F143" s="77"/>
      <c r="G143" s="83"/>
      <c r="H143" s="83"/>
      <c r="I143" s="77"/>
      <c r="J143" s="77"/>
      <c r="K143" s="77"/>
      <c r="L143" s="77"/>
      <c r="M143" s="77"/>
      <c r="N143" s="82"/>
      <c r="O143" s="82"/>
      <c r="P143" s="82"/>
      <c r="Q143" s="77"/>
      <c r="R143" s="138"/>
      <c r="T143" s="10"/>
      <c r="AB143" s="10"/>
      <c r="AD143" s="7"/>
      <c r="AE143" s="11"/>
      <c r="AF143" s="177"/>
      <c r="AG143" s="9"/>
      <c r="AH143" s="194"/>
      <c r="AI143" s="194"/>
    </row>
    <row r="144" spans="1:35" ht="12.75">
      <c r="A144" s="138"/>
      <c r="B144" s="84" t="str">
        <f>B75</f>
        <v>Odds ratio in a case-control study</v>
      </c>
      <c r="C144" s="85"/>
      <c r="D144" s="85"/>
      <c r="E144" s="85"/>
      <c r="F144" s="85"/>
      <c r="G144" s="86"/>
      <c r="H144" s="86"/>
      <c r="I144" s="85"/>
      <c r="J144" s="85"/>
      <c r="K144" s="85"/>
      <c r="L144" s="85"/>
      <c r="M144" s="88" t="s">
        <v>43</v>
      </c>
      <c r="N144" s="89"/>
      <c r="O144" s="89"/>
      <c r="P144" s="89"/>
      <c r="Q144" s="85"/>
      <c r="R144" s="138"/>
      <c r="T144" s="10"/>
      <c r="AB144" s="10"/>
      <c r="AD144" s="7"/>
      <c r="AE144" s="11"/>
      <c r="AF144" s="177"/>
      <c r="AG144" s="9"/>
      <c r="AH144" s="194"/>
      <c r="AI144" s="194"/>
    </row>
    <row r="145" spans="1:35" ht="4.5" customHeight="1">
      <c r="A145" s="138"/>
      <c r="B145" s="84"/>
      <c r="C145" s="85"/>
      <c r="D145" s="85"/>
      <c r="E145" s="85"/>
      <c r="F145" s="85"/>
      <c r="G145" s="86"/>
      <c r="H145" s="86"/>
      <c r="I145" s="85"/>
      <c r="J145" s="85"/>
      <c r="K145" s="85"/>
      <c r="L145" s="85"/>
      <c r="M145" s="88"/>
      <c r="N145" s="89"/>
      <c r="O145" s="89"/>
      <c r="P145" s="89"/>
      <c r="Q145" s="85"/>
      <c r="R145" s="138"/>
      <c r="T145" s="10"/>
      <c r="AB145" s="10"/>
      <c r="AD145" s="7"/>
      <c r="AE145" s="11"/>
      <c r="AF145" s="177"/>
      <c r="AG145" s="9"/>
      <c r="AH145" s="194"/>
      <c r="AI145" s="194"/>
    </row>
    <row r="146" spans="1:35" ht="12.75" customHeight="1">
      <c r="A146" s="138"/>
      <c r="B146" s="85"/>
      <c r="C146" s="282" t="s">
        <v>42</v>
      </c>
      <c r="D146" s="118"/>
      <c r="E146" s="304" t="s">
        <v>34</v>
      </c>
      <c r="F146" s="283" t="s">
        <v>35</v>
      </c>
      <c r="G146" s="286" t="s">
        <v>39</v>
      </c>
      <c r="H146" s="287"/>
      <c r="I146" s="85"/>
      <c r="J146" s="85"/>
      <c r="K146" s="85"/>
      <c r="L146" s="85"/>
      <c r="M146" s="302" t="s">
        <v>50</v>
      </c>
      <c r="N146" s="89"/>
      <c r="O146" s="89"/>
      <c r="P146" s="89"/>
      <c r="Q146" s="85"/>
      <c r="R146" s="138"/>
      <c r="T146" s="10"/>
      <c r="AB146" s="10"/>
      <c r="AD146" s="7"/>
      <c r="AE146" s="11"/>
      <c r="AF146" s="297" t="s">
        <v>7</v>
      </c>
      <c r="AG146" s="9"/>
      <c r="AH146" s="185"/>
      <c r="AI146" s="185"/>
    </row>
    <row r="147" spans="1:35" ht="12.75" customHeight="1">
      <c r="A147" s="138"/>
      <c r="B147" s="85"/>
      <c r="C147" s="282"/>
      <c r="D147" s="119"/>
      <c r="E147" s="305"/>
      <c r="F147" s="284"/>
      <c r="G147" s="288"/>
      <c r="H147" s="289"/>
      <c r="I147" s="352" t="s">
        <v>10</v>
      </c>
      <c r="J147" s="301"/>
      <c r="K147" s="301"/>
      <c r="L147" s="91"/>
      <c r="M147" s="303"/>
      <c r="N147" s="137">
        <f>$N$88</f>
        <v>95</v>
      </c>
      <c r="O147" s="307" t="s">
        <v>11</v>
      </c>
      <c r="P147" s="308"/>
      <c r="Q147" s="91"/>
      <c r="R147" s="131"/>
      <c r="T147" s="10"/>
      <c r="AB147" s="10"/>
      <c r="AD147" s="7"/>
      <c r="AE147" s="8"/>
      <c r="AF147" s="298"/>
      <c r="AH147" s="185"/>
      <c r="AI147" s="185"/>
    </row>
    <row r="148" spans="1:35" ht="12.75" customHeight="1">
      <c r="A148" s="138"/>
      <c r="B148" s="85"/>
      <c r="C148" s="282"/>
      <c r="D148" s="119"/>
      <c r="E148" s="306"/>
      <c r="F148" s="285"/>
      <c r="G148" s="74" t="s">
        <v>51</v>
      </c>
      <c r="H148" s="62" t="s">
        <v>52</v>
      </c>
      <c r="I148" s="22" t="s">
        <v>21</v>
      </c>
      <c r="J148" s="22" t="s">
        <v>36</v>
      </c>
      <c r="K148" s="22" t="s">
        <v>37</v>
      </c>
      <c r="L148" s="91"/>
      <c r="M148" s="303"/>
      <c r="N148" s="22" t="s">
        <v>14</v>
      </c>
      <c r="O148" s="22" t="s">
        <v>15</v>
      </c>
      <c r="P148" s="22" t="s">
        <v>69</v>
      </c>
      <c r="Q148" s="91"/>
      <c r="R148" s="131"/>
      <c r="T148" s="10"/>
      <c r="AB148" s="10"/>
      <c r="AD148" s="7"/>
      <c r="AE148" s="8"/>
      <c r="AF148" s="299"/>
      <c r="AH148" s="185"/>
      <c r="AI148" s="185"/>
    </row>
    <row r="149" spans="1:35" ht="13.5" customHeight="1">
      <c r="A149" s="138"/>
      <c r="B149" s="85"/>
      <c r="C149" s="21">
        <v>1.1</v>
      </c>
      <c r="D149" s="120"/>
      <c r="E149" s="49">
        <v>20</v>
      </c>
      <c r="F149" s="106">
        <v>50</v>
      </c>
      <c r="G149" s="125">
        <f>$G$88</f>
        <v>5</v>
      </c>
      <c r="H149" s="125">
        <f>$H$88</f>
        <v>20</v>
      </c>
      <c r="I149" s="101">
        <f>AF149*((NORMSINV(1-G149/2/100)+NORMSINV(1-H149/100))/LN(C149))^2</f>
        <v>21015.579352797096</v>
      </c>
      <c r="J149" s="24">
        <f>F149/100*I149</f>
        <v>10507.789676398548</v>
      </c>
      <c r="K149" s="24">
        <f>I149-J149</f>
        <v>10507.789676398548</v>
      </c>
      <c r="L149" s="92"/>
      <c r="M149" s="20">
        <f>EXP((LN(C149)*NORMSINV(1-G149/100/2))/(NORMSINV(1-G149/100/2)+NORMSINV(1-H149/100)))</f>
        <v>1.0689513809412068</v>
      </c>
      <c r="N149" s="28">
        <f>EXP(LN(M149)+SQRT(AF149/I149)*NORMSINV((1-N147/100)/2))</f>
        <v>0.9999999999999999</v>
      </c>
      <c r="O149" s="28">
        <f>EXP(LN(M149)+SQRT(AF149/I149)*NORMSINV(1-(1-N147/100)/2))</f>
        <v>1.142657054816113</v>
      </c>
      <c r="P149" s="28">
        <f>SQRT(O149/N149)</f>
        <v>1.068951380941207</v>
      </c>
      <c r="Q149" s="121"/>
      <c r="R149" s="152"/>
      <c r="T149" s="10"/>
      <c r="AB149" s="10"/>
      <c r="AD149" s="7"/>
      <c r="AE149" s="183"/>
      <c r="AF149" s="176">
        <f>(1/(F149/100))*(1+1/(C149*E149/(100-E149))+1+C149*E149/(100-E149))+(1/(1-F149/100))*(1/(E149/100)+1/(1-E149/100))</f>
        <v>24.322727272727274</v>
      </c>
      <c r="AH149" s="195"/>
      <c r="AI149" s="195"/>
    </row>
    <row r="150" spans="1:39" ht="22.5">
      <c r="A150" s="138"/>
      <c r="B150" s="85"/>
      <c r="C150" s="85"/>
      <c r="D150" s="85"/>
      <c r="E150" s="85"/>
      <c r="F150" s="85"/>
      <c r="G150" s="23" t="str">
        <f>IF(G149&lt;=0.1,"negligible",IF(G149&lt;=0.5,"most unlikely",IF(G149&lt;=5,"very unlikely",IF(G149&lt;=25,"unlikely",IF(G149&lt;=50,"possible","not computed")))))</f>
        <v>very unlikely</v>
      </c>
      <c r="H150" s="23" t="str">
        <f>IF(H149&lt;=0.1,"negligible",IF(H149&lt;=0.5,"most unlikely",IF(H149&lt;=5,"very unlikely",IF(H149&lt;=25,"unlikely",IF(H149&lt;=75,"possible",IF(H149&lt;=95,"likely",IF(H149&lt;=99.5,"very likely","most likely")))))))</f>
        <v>unlikely</v>
      </c>
      <c r="I150" s="85"/>
      <c r="J150" s="94"/>
      <c r="K150" s="94"/>
      <c r="L150" s="94"/>
      <c r="M150" s="85"/>
      <c r="N150" s="85"/>
      <c r="O150" s="85"/>
      <c r="P150" s="85"/>
      <c r="Q150" s="85"/>
      <c r="R150" s="138"/>
      <c r="U150" s="200"/>
      <c r="V150" s="7"/>
      <c r="W150" s="9"/>
      <c r="X150" s="186"/>
      <c r="Y150" s="186"/>
      <c r="Z150" s="177"/>
      <c r="AA150" s="11"/>
      <c r="AB150" s="11"/>
      <c r="AC150" s="11"/>
      <c r="AD150" s="10"/>
      <c r="AE150" s="10"/>
      <c r="AF150" s="10"/>
      <c r="AG150" s="10"/>
      <c r="AH150" s="10"/>
      <c r="AI150" s="10"/>
      <c r="AJ150" s="10"/>
      <c r="AK150" s="10"/>
      <c r="AL150" s="10"/>
      <c r="AM150" s="10"/>
    </row>
    <row r="151" spans="1:35" ht="8.25" customHeight="1">
      <c r="A151" s="138"/>
      <c r="B151" s="85"/>
      <c r="C151" s="85"/>
      <c r="D151" s="85"/>
      <c r="E151" s="85"/>
      <c r="F151" s="85"/>
      <c r="G151" s="85"/>
      <c r="H151" s="85"/>
      <c r="I151" s="87"/>
      <c r="J151" s="85"/>
      <c r="K151" s="85"/>
      <c r="L151" s="87"/>
      <c r="M151" s="85"/>
      <c r="N151" s="85"/>
      <c r="O151" s="85"/>
      <c r="P151" s="85"/>
      <c r="Q151" s="85"/>
      <c r="R151" s="138"/>
      <c r="U151" s="177"/>
      <c r="V151" s="177"/>
      <c r="W151" s="11"/>
      <c r="X151" s="11"/>
      <c r="Y151" s="11"/>
      <c r="Z151" s="11"/>
      <c r="AA151" s="11"/>
      <c r="AD151" s="10"/>
      <c r="AE151" s="10"/>
      <c r="AF151" s="10"/>
      <c r="AG151" s="9"/>
      <c r="AH151" s="184"/>
      <c r="AI151" s="184"/>
    </row>
    <row r="152" spans="1:35" ht="8.25" customHeight="1">
      <c r="A152" s="138"/>
      <c r="B152" s="138"/>
      <c r="C152" s="138"/>
      <c r="D152" s="138"/>
      <c r="E152" s="138"/>
      <c r="F152" s="138"/>
      <c r="G152" s="138"/>
      <c r="H152" s="138"/>
      <c r="I152" s="139"/>
      <c r="J152" s="138"/>
      <c r="K152" s="138"/>
      <c r="L152" s="138"/>
      <c r="M152" s="138"/>
      <c r="N152" s="138"/>
      <c r="O152" s="138"/>
      <c r="P152" s="138"/>
      <c r="Q152" s="138"/>
      <c r="R152" s="138"/>
      <c r="U152" s="11"/>
      <c r="V152" s="11"/>
      <c r="W152" s="11"/>
      <c r="X152" s="11"/>
      <c r="Y152" s="11"/>
      <c r="Z152" s="11"/>
      <c r="AA152" s="11"/>
      <c r="AD152" s="10"/>
      <c r="AE152" s="10"/>
      <c r="AF152" s="7"/>
      <c r="AG152" s="9"/>
      <c r="AH152" s="184"/>
      <c r="AI152" s="184"/>
    </row>
    <row r="153" spans="21:27" ht="12.75">
      <c r="U153" s="11"/>
      <c r="V153" s="11"/>
      <c r="W153" s="11"/>
      <c r="X153" s="11"/>
      <c r="Y153" s="11"/>
      <c r="Z153" s="11"/>
      <c r="AA153" s="11"/>
    </row>
    <row r="154" ht="12.75">
      <c r="U154" s="11"/>
    </row>
    <row r="155" ht="12.75">
      <c r="U155" s="11"/>
    </row>
    <row r="156" ht="12.75">
      <c r="U156" s="11"/>
    </row>
    <row r="157" ht="12.75">
      <c r="U157" s="11"/>
    </row>
  </sheetData>
  <sheetProtection/>
  <mergeCells count="253">
    <mergeCell ref="C77:C79"/>
    <mergeCell ref="G85:H86"/>
    <mergeCell ref="E92:E94"/>
    <mergeCell ref="G92:H93"/>
    <mergeCell ref="C85:E88"/>
    <mergeCell ref="D77:D79"/>
    <mergeCell ref="E77:E79"/>
    <mergeCell ref="F77:F79"/>
    <mergeCell ref="G77:H78"/>
    <mergeCell ref="S70:T70"/>
    <mergeCell ref="R69:R71"/>
    <mergeCell ref="V69:V71"/>
    <mergeCell ref="M69:M71"/>
    <mergeCell ref="Q69:Q71"/>
    <mergeCell ref="O70:P70"/>
    <mergeCell ref="AF69:AF71"/>
    <mergeCell ref="W70:W71"/>
    <mergeCell ref="X70:X71"/>
    <mergeCell ref="Y70:Y71"/>
    <mergeCell ref="Z70:Z71"/>
    <mergeCell ref="AA70:AA71"/>
    <mergeCell ref="AD70:AD71"/>
    <mergeCell ref="AE70:AE71"/>
    <mergeCell ref="C66:C68"/>
    <mergeCell ref="D66:D68"/>
    <mergeCell ref="E66:E71"/>
    <mergeCell ref="I70:I71"/>
    <mergeCell ref="J70:K70"/>
    <mergeCell ref="G69:H70"/>
    <mergeCell ref="H66:H67"/>
    <mergeCell ref="F67:F71"/>
    <mergeCell ref="Y59:Y60"/>
    <mergeCell ref="Z59:Z60"/>
    <mergeCell ref="V58:V60"/>
    <mergeCell ref="W58:AA58"/>
    <mergeCell ref="AF58:AF60"/>
    <mergeCell ref="AA59:AA60"/>
    <mergeCell ref="AD59:AD60"/>
    <mergeCell ref="AE59:AE60"/>
    <mergeCell ref="Q58:Q60"/>
    <mergeCell ref="R58:R60"/>
    <mergeCell ref="I58:K58"/>
    <mergeCell ref="O59:P59"/>
    <mergeCell ref="S59:T59"/>
    <mergeCell ref="X59:X60"/>
    <mergeCell ref="J59:K59"/>
    <mergeCell ref="H135:H136"/>
    <mergeCell ref="M92:M94"/>
    <mergeCell ref="M100:M102"/>
    <mergeCell ref="M108:M110"/>
    <mergeCell ref="M58:M60"/>
    <mergeCell ref="I69:K69"/>
    <mergeCell ref="I109:K109"/>
    <mergeCell ref="I117:I118"/>
    <mergeCell ref="I78:K78"/>
    <mergeCell ref="AA78:AA79"/>
    <mergeCell ref="O109:P109"/>
    <mergeCell ref="F146:F148"/>
    <mergeCell ref="G146:H147"/>
    <mergeCell ref="I147:K147"/>
    <mergeCell ref="O147:P147"/>
    <mergeCell ref="M127:M129"/>
    <mergeCell ref="M146:M148"/>
    <mergeCell ref="O128:P128"/>
    <mergeCell ref="I127:K127"/>
    <mergeCell ref="S78:T78"/>
    <mergeCell ref="AD76:AE77"/>
    <mergeCell ref="AE78:AE79"/>
    <mergeCell ref="V76:AA76"/>
    <mergeCell ref="AD78:AD79"/>
    <mergeCell ref="AG110:AI110"/>
    <mergeCell ref="Y78:Y79"/>
    <mergeCell ref="AG94:AI94"/>
    <mergeCell ref="AG102:AI102"/>
    <mergeCell ref="Z78:Z79"/>
    <mergeCell ref="AF77:AF79"/>
    <mergeCell ref="M77:M79"/>
    <mergeCell ref="Q77:Q79"/>
    <mergeCell ref="R77:R79"/>
    <mergeCell ref="O78:P78"/>
    <mergeCell ref="C100:C102"/>
    <mergeCell ref="E100:E102"/>
    <mergeCell ref="F100:F102"/>
    <mergeCell ref="G100:H101"/>
    <mergeCell ref="I101:K101"/>
    <mergeCell ref="V57:AA57"/>
    <mergeCell ref="AD57:AE58"/>
    <mergeCell ref="W59:W60"/>
    <mergeCell ref="V77:V79"/>
    <mergeCell ref="W77:AA77"/>
    <mergeCell ref="W78:W79"/>
    <mergeCell ref="X78:X79"/>
    <mergeCell ref="V68:AA68"/>
    <mergeCell ref="AD68:AE69"/>
    <mergeCell ref="W69:AA69"/>
    <mergeCell ref="AD48:AD49"/>
    <mergeCell ref="V47:V49"/>
    <mergeCell ref="G47:H48"/>
    <mergeCell ref="I48:I49"/>
    <mergeCell ref="W47:AA47"/>
    <mergeCell ref="AD46:AE47"/>
    <mergeCell ref="V46:AA46"/>
    <mergeCell ref="W48:W49"/>
    <mergeCell ref="AE48:AE49"/>
    <mergeCell ref="X48:X49"/>
    <mergeCell ref="Y48:Y49"/>
    <mergeCell ref="Z48:Z49"/>
    <mergeCell ref="AA48:AA49"/>
    <mergeCell ref="AA40:AA41"/>
    <mergeCell ref="M47:M49"/>
    <mergeCell ref="Q47:Q49"/>
    <mergeCell ref="R47:R49"/>
    <mergeCell ref="O48:P48"/>
    <mergeCell ref="S48:T48"/>
    <mergeCell ref="Q31:Q33"/>
    <mergeCell ref="AF47:AF49"/>
    <mergeCell ref="Q39:Q41"/>
    <mergeCell ref="R31:R33"/>
    <mergeCell ref="V31:V33"/>
    <mergeCell ref="R39:R41"/>
    <mergeCell ref="V38:AA38"/>
    <mergeCell ref="V39:V41"/>
    <mergeCell ref="S40:T40"/>
    <mergeCell ref="X40:X41"/>
    <mergeCell ref="AG33:AI33"/>
    <mergeCell ref="AF39:AF41"/>
    <mergeCell ref="AG41:AI41"/>
    <mergeCell ref="Y32:Y33"/>
    <mergeCell ref="Z32:Z33"/>
    <mergeCell ref="AA32:AA33"/>
    <mergeCell ref="AF31:AF33"/>
    <mergeCell ref="Y40:Y41"/>
    <mergeCell ref="Z40:Z41"/>
    <mergeCell ref="AD40:AD41"/>
    <mergeCell ref="Q23:Q25"/>
    <mergeCell ref="V22:AA22"/>
    <mergeCell ref="Y24:Y25"/>
    <mergeCell ref="Z24:Z25"/>
    <mergeCell ref="AA24:AA25"/>
    <mergeCell ref="X24:X25"/>
    <mergeCell ref="W24:W25"/>
    <mergeCell ref="W23:AA23"/>
    <mergeCell ref="V23:V25"/>
    <mergeCell ref="C16:E19"/>
    <mergeCell ref="C23:C25"/>
    <mergeCell ref="G16:H17"/>
    <mergeCell ref="D23:D25"/>
    <mergeCell ref="E23:E25"/>
    <mergeCell ref="F23:F25"/>
    <mergeCell ref="G23:H24"/>
    <mergeCell ref="AF23:AF25"/>
    <mergeCell ref="S32:T32"/>
    <mergeCell ref="S24:T24"/>
    <mergeCell ref="R23:R25"/>
    <mergeCell ref="AD24:AD25"/>
    <mergeCell ref="AE24:AE25"/>
    <mergeCell ref="AD22:AE23"/>
    <mergeCell ref="AE40:AE41"/>
    <mergeCell ref="W40:W41"/>
    <mergeCell ref="B9:N9"/>
    <mergeCell ref="B6:N6"/>
    <mergeCell ref="B7:N7"/>
    <mergeCell ref="B10:N10"/>
    <mergeCell ref="M23:M24"/>
    <mergeCell ref="M31:M32"/>
    <mergeCell ref="B11:N11"/>
    <mergeCell ref="AD30:AE31"/>
    <mergeCell ref="AD38:AE39"/>
    <mergeCell ref="W39:AA39"/>
    <mergeCell ref="AE32:AE33"/>
    <mergeCell ref="V30:AA30"/>
    <mergeCell ref="AD32:AD33"/>
    <mergeCell ref="W31:AA31"/>
    <mergeCell ref="W32:W33"/>
    <mergeCell ref="X32:X33"/>
    <mergeCell ref="O19:P19"/>
    <mergeCell ref="O32:P32"/>
    <mergeCell ref="O40:P40"/>
    <mergeCell ref="I40:K40"/>
    <mergeCell ref="G31:H32"/>
    <mergeCell ref="I23:I24"/>
    <mergeCell ref="I31:K31"/>
    <mergeCell ref="O24:P24"/>
    <mergeCell ref="C108:C110"/>
    <mergeCell ref="E108:E110"/>
    <mergeCell ref="G108:H109"/>
    <mergeCell ref="O139:P139"/>
    <mergeCell ref="M39:M41"/>
    <mergeCell ref="O101:P101"/>
    <mergeCell ref="O88:P88"/>
    <mergeCell ref="F108:F110"/>
    <mergeCell ref="G138:H139"/>
    <mergeCell ref="G116:H117"/>
    <mergeCell ref="O117:P117"/>
    <mergeCell ref="C136:C137"/>
    <mergeCell ref="E135:E140"/>
    <mergeCell ref="E126:E129"/>
    <mergeCell ref="M116:M118"/>
    <mergeCell ref="C127:C129"/>
    <mergeCell ref="G127:H128"/>
    <mergeCell ref="F126:F129"/>
    <mergeCell ref="C124:D125"/>
    <mergeCell ref="F135:F140"/>
    <mergeCell ref="C146:C148"/>
    <mergeCell ref="E146:E148"/>
    <mergeCell ref="AF92:AF94"/>
    <mergeCell ref="AF100:AF102"/>
    <mergeCell ref="AF108:AF110"/>
    <mergeCell ref="AF116:AF118"/>
    <mergeCell ref="O93:P93"/>
    <mergeCell ref="C92:C94"/>
    <mergeCell ref="I93:I94"/>
    <mergeCell ref="C116:C118"/>
    <mergeCell ref="AF146:AF148"/>
    <mergeCell ref="AF127:AF129"/>
    <mergeCell ref="AF138:AF140"/>
    <mergeCell ref="I128:I129"/>
    <mergeCell ref="J128:K128"/>
    <mergeCell ref="I138:K138"/>
    <mergeCell ref="M138:M140"/>
    <mergeCell ref="I139:I140"/>
    <mergeCell ref="J139:K139"/>
    <mergeCell ref="F57:F60"/>
    <mergeCell ref="C55:D56"/>
    <mergeCell ref="E57:E60"/>
    <mergeCell ref="C47:C49"/>
    <mergeCell ref="I59:I60"/>
    <mergeCell ref="C58:C60"/>
    <mergeCell ref="D58:D60"/>
    <mergeCell ref="G58:H59"/>
    <mergeCell ref="D47:D49"/>
    <mergeCell ref="D39:D41"/>
    <mergeCell ref="E39:E41"/>
    <mergeCell ref="F39:F41"/>
    <mergeCell ref="G39:H40"/>
    <mergeCell ref="F31:F33"/>
    <mergeCell ref="C39:C41"/>
    <mergeCell ref="C31:C33"/>
    <mergeCell ref="D31:D33"/>
    <mergeCell ref="E31:E33"/>
    <mergeCell ref="U17:V17"/>
    <mergeCell ref="P12:P13"/>
    <mergeCell ref="Q12:R12"/>
    <mergeCell ref="S12:W12"/>
    <mergeCell ref="X12:X13"/>
    <mergeCell ref="Y12:Y13"/>
    <mergeCell ref="P6:AA11"/>
    <mergeCell ref="AA12:AA13"/>
    <mergeCell ref="U13:V13"/>
    <mergeCell ref="U14:V14"/>
    <mergeCell ref="U15:V15"/>
    <mergeCell ref="U16:V16"/>
    <mergeCell ref="Z12:Z13"/>
  </mergeCells>
  <printOptions/>
  <pageMargins left="0.75" right="0.75" top="1" bottom="1" header="0.5" footer="0.5"/>
  <pageSetup horizontalDpi="1200" verticalDpi="12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Sample-size estimation</dc:title>
  <dc:subject/>
  <dc:creator>Will G Hopkins</dc:creator>
  <cp:keywords/>
  <dc:description/>
  <cp:lastModifiedBy>Ken Wilson</cp:lastModifiedBy>
  <dcterms:created xsi:type="dcterms:W3CDTF">2004-12-18T18:20:27Z</dcterms:created>
  <dcterms:modified xsi:type="dcterms:W3CDTF">2014-07-14T11:54:22Z</dcterms:modified>
  <cp:category/>
  <cp:version/>
  <cp:contentType/>
  <cp:contentStatus/>
</cp:coreProperties>
</file>